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2"/>
  </bookViews>
  <sheets>
    <sheet name="18-19" sheetId="9" r:id="rId1"/>
    <sheet name="19-20" sheetId="10" r:id="rId2"/>
    <sheet name="20-21" sheetId="11" r:id="rId3"/>
    <sheet name="РЕЗУЛЬТАТЫ ЕГЭ ВТГ" sheetId="8" r:id="rId4"/>
    <sheet name="Сумма баллов по ОО" sheetId="7" r:id="rId5"/>
    <sheet name="Суммы баллов учащихся" sheetId="6" r:id="rId6"/>
    <sheet name="Р. по АТЕ" sheetId="5" r:id="rId7"/>
    <sheet name="Баллы по АТЕ ГИА-11" sheetId="4" r:id="rId8"/>
    <sheet name="Высокие и низкие результ ГИА-11" sheetId="3" r:id="rId9"/>
    <sheet name="Результаты ГИА-9 по АТЕ" sheetId="2" r:id="rId10"/>
    <sheet name="Высокие и низкие результ ГИА-9" sheetId="1" r:id="rId11"/>
  </sheets>
  <calcPr calcId="152511"/>
</workbook>
</file>

<file path=xl/calcChain.xml><?xml version="1.0" encoding="utf-8"?>
<calcChain xmlns="http://schemas.openxmlformats.org/spreadsheetml/2006/main">
  <c r="L16" i="8" l="1"/>
  <c r="N85" i="10"/>
  <c r="B85" i="10"/>
  <c r="N81" i="10"/>
  <c r="I81" i="10"/>
  <c r="G81" i="10"/>
  <c r="E81" i="10"/>
  <c r="C81" i="10"/>
  <c r="B81" i="10"/>
  <c r="N83" i="10"/>
  <c r="M83" i="10"/>
  <c r="L83" i="10"/>
  <c r="K83" i="10"/>
  <c r="F83" i="10"/>
  <c r="N79" i="10"/>
  <c r="D79" i="10"/>
  <c r="N78" i="10"/>
  <c r="N77" i="10"/>
  <c r="D77" i="10"/>
  <c r="M77" i="10"/>
  <c r="L77" i="10"/>
  <c r="K77" i="10"/>
  <c r="N76" i="10"/>
  <c r="N75" i="10"/>
  <c r="N74" i="10"/>
  <c r="D74" i="10"/>
  <c r="N73" i="10"/>
  <c r="N72" i="10"/>
  <c r="N67" i="10"/>
  <c r="M67" i="10"/>
  <c r="L67" i="10"/>
  <c r="K67" i="10"/>
  <c r="D67" i="10"/>
  <c r="N66" i="10"/>
  <c r="M66" i="10"/>
  <c r="L66" i="10"/>
  <c r="K66" i="10"/>
  <c r="D66" i="10"/>
  <c r="F59" i="10"/>
  <c r="H59" i="10"/>
  <c r="K59" i="10"/>
  <c r="L59" i="10"/>
  <c r="M59" i="10"/>
  <c r="N59" i="10"/>
  <c r="F60" i="10"/>
  <c r="H60" i="10"/>
  <c r="K60" i="10"/>
  <c r="L60" i="10"/>
  <c r="M60" i="10"/>
  <c r="N60" i="10"/>
  <c r="F61" i="10"/>
  <c r="K61" i="10"/>
  <c r="L61" i="10"/>
  <c r="M61" i="10"/>
  <c r="N61" i="10"/>
  <c r="D62" i="10"/>
  <c r="K62" i="10"/>
  <c r="L62" i="10"/>
  <c r="M62" i="10"/>
  <c r="N62" i="10"/>
  <c r="I65" i="10"/>
  <c r="G65" i="10"/>
  <c r="E65" i="10"/>
  <c r="C65" i="10"/>
  <c r="B65" i="10"/>
  <c r="N65" i="10" s="1"/>
  <c r="N63" i="10"/>
  <c r="H63" i="10"/>
  <c r="N56" i="10"/>
  <c r="D56" i="10"/>
  <c r="N55" i="10"/>
  <c r="N54" i="10"/>
  <c r="M54" i="10"/>
  <c r="L54" i="10"/>
  <c r="K54" i="10"/>
  <c r="F54" i="10"/>
  <c r="N53" i="10"/>
  <c r="H53" i="10"/>
  <c r="N52" i="10"/>
  <c r="F52" i="10"/>
  <c r="N51" i="10"/>
  <c r="F51" i="10"/>
  <c r="B48" i="10"/>
  <c r="N46" i="10"/>
  <c r="D46" i="10"/>
  <c r="N45" i="10"/>
  <c r="D45" i="10"/>
  <c r="N44" i="10"/>
  <c r="F44" i="10"/>
  <c r="M44" i="10"/>
  <c r="L44" i="10"/>
  <c r="K44" i="10"/>
  <c r="N43" i="10"/>
  <c r="D43" i="10"/>
  <c r="N42" i="10"/>
  <c r="D42" i="10"/>
  <c r="N41" i="10"/>
  <c r="F41" i="10"/>
  <c r="I33" i="10"/>
  <c r="G33" i="10"/>
  <c r="E33" i="10"/>
  <c r="C33" i="10"/>
  <c r="B33" i="10"/>
  <c r="N33" i="10" s="1"/>
  <c r="N37" i="10"/>
  <c r="F37" i="10"/>
  <c r="M37" i="10"/>
  <c r="L37" i="10"/>
  <c r="K37" i="10"/>
  <c r="N36" i="10"/>
  <c r="M36" i="10"/>
  <c r="L36" i="10"/>
  <c r="K36" i="10"/>
  <c r="F36" i="10"/>
  <c r="N35" i="10"/>
  <c r="N31" i="10"/>
  <c r="D31" i="10"/>
  <c r="N30" i="10"/>
  <c r="F30" i="10"/>
  <c r="D30" i="10"/>
  <c r="M30" i="10"/>
  <c r="K30" i="10"/>
  <c r="L30" i="10"/>
  <c r="N29" i="10"/>
  <c r="D29" i="10"/>
  <c r="M29" i="10"/>
  <c r="K29" i="10"/>
  <c r="L29" i="10"/>
  <c r="N28" i="10"/>
  <c r="D28" i="10"/>
  <c r="M28" i="10"/>
  <c r="K28" i="10"/>
  <c r="L28" i="10"/>
  <c r="N27" i="10"/>
  <c r="J12" i="10"/>
  <c r="N13" i="10"/>
  <c r="N21" i="10"/>
  <c r="N20" i="10"/>
  <c r="N19" i="10"/>
  <c r="M19" i="10"/>
  <c r="H19" i="10"/>
  <c r="F19" i="10"/>
  <c r="L19" i="10"/>
  <c r="K19" i="10"/>
  <c r="N18" i="10"/>
  <c r="N17" i="10"/>
  <c r="F17" i="10"/>
  <c r="N16" i="10"/>
  <c r="F16" i="10"/>
  <c r="L16" i="10"/>
  <c r="M16" i="10"/>
  <c r="K16" i="10"/>
  <c r="N15" i="10"/>
  <c r="N14" i="10"/>
  <c r="H14" i="10"/>
  <c r="F65" i="10" l="1"/>
  <c r="H65" i="10"/>
  <c r="D65" i="10"/>
  <c r="J65" i="10"/>
  <c r="K65" i="10"/>
  <c r="L65" i="10"/>
  <c r="M65" i="10"/>
  <c r="N82" i="10" l="1"/>
  <c r="M82" i="10"/>
  <c r="L82" i="10"/>
  <c r="K82" i="10"/>
  <c r="H82" i="10"/>
  <c r="F82" i="10"/>
  <c r="D82" i="10"/>
  <c r="M79" i="10"/>
  <c r="L79" i="10"/>
  <c r="K79" i="10"/>
  <c r="M78" i="10"/>
  <c r="L78" i="10"/>
  <c r="K78" i="10"/>
  <c r="D78" i="10"/>
  <c r="M76" i="10"/>
  <c r="L76" i="10"/>
  <c r="K76" i="10"/>
  <c r="D76" i="10"/>
  <c r="M75" i="10"/>
  <c r="L75" i="10"/>
  <c r="K75" i="10"/>
  <c r="F75" i="10"/>
  <c r="M74" i="10"/>
  <c r="L74" i="10"/>
  <c r="K74" i="10"/>
  <c r="M73" i="10"/>
  <c r="L73" i="10"/>
  <c r="K73" i="10"/>
  <c r="D73" i="10"/>
  <c r="M72" i="10"/>
  <c r="L72" i="10"/>
  <c r="K72" i="10"/>
  <c r="D72" i="10"/>
  <c r="N71" i="10"/>
  <c r="M71" i="10"/>
  <c r="L71" i="10"/>
  <c r="K71" i="10"/>
  <c r="H71" i="10"/>
  <c r="F71" i="10"/>
  <c r="D71" i="10"/>
  <c r="N70" i="10"/>
  <c r="M70" i="10"/>
  <c r="L70" i="10"/>
  <c r="K70" i="10"/>
  <c r="D70" i="10"/>
  <c r="I69" i="10"/>
  <c r="G69" i="10"/>
  <c r="E69" i="10"/>
  <c r="C69" i="10"/>
  <c r="B69" i="10"/>
  <c r="N69" i="10" s="1"/>
  <c r="M63" i="10"/>
  <c r="L63" i="10"/>
  <c r="K63" i="10"/>
  <c r="F63" i="10"/>
  <c r="I58" i="10"/>
  <c r="G58" i="10"/>
  <c r="E58" i="10"/>
  <c r="C58" i="10"/>
  <c r="B58" i="10"/>
  <c r="N58" i="10" s="1"/>
  <c r="M56" i="10"/>
  <c r="L56" i="10"/>
  <c r="K56" i="10"/>
  <c r="F56" i="10"/>
  <c r="M55" i="10"/>
  <c r="L55" i="10"/>
  <c r="K55" i="10"/>
  <c r="D55" i="10"/>
  <c r="M53" i="10"/>
  <c r="L53" i="10"/>
  <c r="K53" i="10"/>
  <c r="M52" i="10"/>
  <c r="L52" i="10"/>
  <c r="K52" i="10"/>
  <c r="M51" i="10"/>
  <c r="L51" i="10"/>
  <c r="K51" i="10"/>
  <c r="D51" i="10"/>
  <c r="N50" i="10"/>
  <c r="M50" i="10"/>
  <c r="L50" i="10"/>
  <c r="K50" i="10"/>
  <c r="D50" i="10"/>
  <c r="N49" i="10"/>
  <c r="M49" i="10"/>
  <c r="L49" i="10"/>
  <c r="K49" i="10"/>
  <c r="F49" i="10"/>
  <c r="D49" i="10"/>
  <c r="I48" i="10"/>
  <c r="G48" i="10"/>
  <c r="H48" i="10" s="1"/>
  <c r="E48" i="10"/>
  <c r="C48" i="10"/>
  <c r="N48" i="10"/>
  <c r="M46" i="10"/>
  <c r="L46" i="10"/>
  <c r="K46" i="10"/>
  <c r="M45" i="10"/>
  <c r="L45" i="10"/>
  <c r="K45" i="10"/>
  <c r="M43" i="10"/>
  <c r="L43" i="10"/>
  <c r="K43" i="10"/>
  <c r="M42" i="10"/>
  <c r="L42" i="10"/>
  <c r="K42" i="10"/>
  <c r="M41" i="10"/>
  <c r="L41" i="10"/>
  <c r="K41" i="10"/>
  <c r="D41" i="10"/>
  <c r="N40" i="10"/>
  <c r="M40" i="10"/>
  <c r="L40" i="10"/>
  <c r="K40" i="10"/>
  <c r="D40" i="10"/>
  <c r="I39" i="10"/>
  <c r="G39" i="10"/>
  <c r="E39" i="10"/>
  <c r="C39" i="10"/>
  <c r="B39" i="10"/>
  <c r="N39" i="10" s="1"/>
  <c r="M35" i="10"/>
  <c r="L35" i="10"/>
  <c r="K35" i="10"/>
  <c r="F35" i="10"/>
  <c r="N34" i="10"/>
  <c r="M34" i="10"/>
  <c r="L34" i="10"/>
  <c r="K34" i="10"/>
  <c r="F34" i="10"/>
  <c r="L33" i="10"/>
  <c r="J33" i="10"/>
  <c r="H33" i="10"/>
  <c r="K33" i="10"/>
  <c r="F33" i="10"/>
  <c r="D33" i="10"/>
  <c r="M31" i="10"/>
  <c r="L31" i="10"/>
  <c r="K31" i="10"/>
  <c r="M27" i="10"/>
  <c r="L27" i="10"/>
  <c r="K27" i="10"/>
  <c r="D27" i="10"/>
  <c r="N26" i="10"/>
  <c r="M26" i="10"/>
  <c r="L26" i="10"/>
  <c r="K26" i="10"/>
  <c r="F26" i="10"/>
  <c r="D26" i="10"/>
  <c r="N25" i="10"/>
  <c r="M25" i="10"/>
  <c r="L25" i="10"/>
  <c r="K25" i="10"/>
  <c r="D25" i="10"/>
  <c r="N24" i="10"/>
  <c r="M24" i="10"/>
  <c r="L24" i="10"/>
  <c r="K24" i="10"/>
  <c r="F24" i="10"/>
  <c r="I23" i="10"/>
  <c r="G23" i="10"/>
  <c r="E23" i="10"/>
  <c r="C23" i="10"/>
  <c r="B23" i="10"/>
  <c r="N23" i="10" s="1"/>
  <c r="M21" i="10"/>
  <c r="L21" i="10"/>
  <c r="K21" i="10"/>
  <c r="H21" i="10"/>
  <c r="F21" i="10"/>
  <c r="M20" i="10"/>
  <c r="L20" i="10"/>
  <c r="K20" i="10"/>
  <c r="F20" i="10"/>
  <c r="D20" i="10"/>
  <c r="M18" i="10"/>
  <c r="L18" i="10"/>
  <c r="K18" i="10"/>
  <c r="F18" i="10"/>
  <c r="D18" i="10"/>
  <c r="M17" i="10"/>
  <c r="L17" i="10"/>
  <c r="K17" i="10"/>
  <c r="M15" i="10"/>
  <c r="L15" i="10"/>
  <c r="K15" i="10"/>
  <c r="F15" i="10"/>
  <c r="M14" i="10"/>
  <c r="L14" i="10"/>
  <c r="K14" i="10"/>
  <c r="F14" i="10"/>
  <c r="M13" i="10"/>
  <c r="L13" i="10"/>
  <c r="K13" i="10"/>
  <c r="H13" i="10"/>
  <c r="F13" i="10"/>
  <c r="D13" i="10"/>
  <c r="N12" i="10"/>
  <c r="M12" i="10"/>
  <c r="L12" i="10"/>
  <c r="K12" i="10"/>
  <c r="H12" i="10"/>
  <c r="F12" i="10"/>
  <c r="D12" i="10"/>
  <c r="N11" i="10"/>
  <c r="M11" i="10"/>
  <c r="L11" i="10"/>
  <c r="K11" i="10"/>
  <c r="F11" i="10"/>
  <c r="D11" i="10"/>
  <c r="N10" i="10"/>
  <c r="M10" i="10"/>
  <c r="L10" i="10"/>
  <c r="K10" i="10"/>
  <c r="F10" i="10"/>
  <c r="D10" i="10"/>
  <c r="I9" i="10"/>
  <c r="G9" i="10"/>
  <c r="E9" i="10"/>
  <c r="C9" i="10"/>
  <c r="B9" i="10"/>
  <c r="N9" i="10" s="1"/>
  <c r="D58" i="10" l="1"/>
  <c r="F58" i="10"/>
  <c r="D48" i="10"/>
  <c r="J48" i="10"/>
  <c r="F69" i="10"/>
  <c r="F48" i="10"/>
  <c r="J58" i="10"/>
  <c r="J81" i="10"/>
  <c r="L58" i="10"/>
  <c r="L69" i="10"/>
  <c r="D81" i="10"/>
  <c r="L48" i="10"/>
  <c r="K58" i="10"/>
  <c r="J69" i="10"/>
  <c r="L81" i="10"/>
  <c r="H39" i="10"/>
  <c r="K48" i="10"/>
  <c r="H58" i="10"/>
  <c r="D69" i="10"/>
  <c r="H81" i="10"/>
  <c r="L39" i="10"/>
  <c r="J39" i="10"/>
  <c r="D39" i="10"/>
  <c r="H23" i="10"/>
  <c r="F23" i="10"/>
  <c r="L23" i="10"/>
  <c r="K23" i="10"/>
  <c r="D23" i="10"/>
  <c r="J23" i="10"/>
  <c r="L9" i="10"/>
  <c r="D9" i="10"/>
  <c r="M9" i="10"/>
  <c r="F9" i="10"/>
  <c r="J9" i="10"/>
  <c r="M39" i="10"/>
  <c r="K69" i="10"/>
  <c r="M81" i="10"/>
  <c r="E85" i="10"/>
  <c r="I85" i="10"/>
  <c r="K9" i="10"/>
  <c r="M23" i="10"/>
  <c r="M33" i="10"/>
  <c r="F39" i="10"/>
  <c r="M48" i="10"/>
  <c r="M58" i="10"/>
  <c r="H69" i="10"/>
  <c r="F81" i="10"/>
  <c r="H9" i="10"/>
  <c r="K39" i="10"/>
  <c r="M69" i="10"/>
  <c r="K81" i="10"/>
  <c r="C85" i="10"/>
  <c r="G85" i="10"/>
  <c r="J85" i="10" l="1"/>
  <c r="D85" i="10"/>
  <c r="H85" i="10"/>
  <c r="K85" i="10"/>
  <c r="L85" i="10"/>
  <c r="F85" i="10"/>
  <c r="M85" i="10"/>
  <c r="N62" i="11"/>
  <c r="M62" i="11"/>
  <c r="L62" i="11"/>
  <c r="K62" i="11"/>
  <c r="F62" i="11"/>
  <c r="I61" i="11"/>
  <c r="J61" i="11" s="1"/>
  <c r="G61" i="11"/>
  <c r="G64" i="11" s="1"/>
  <c r="E61" i="11"/>
  <c r="F61" i="11" s="1"/>
  <c r="C61" i="11"/>
  <c r="C64" i="11" s="1"/>
  <c r="B61" i="11"/>
  <c r="N61" i="11" s="1"/>
  <c r="N59" i="11"/>
  <c r="M59" i="11"/>
  <c r="L59" i="11"/>
  <c r="K59" i="11"/>
  <c r="F59" i="11"/>
  <c r="N58" i="11"/>
  <c r="M58" i="11"/>
  <c r="L58" i="11"/>
  <c r="K58" i="11"/>
  <c r="D58" i="11"/>
  <c r="N57" i="11"/>
  <c r="M57" i="11"/>
  <c r="L57" i="11"/>
  <c r="K57" i="11"/>
  <c r="F57" i="11"/>
  <c r="D57" i="11"/>
  <c r="N56" i="11"/>
  <c r="M56" i="11"/>
  <c r="L56" i="11"/>
  <c r="K56" i="11"/>
  <c r="F56" i="11"/>
  <c r="D56" i="11"/>
  <c r="N55" i="11"/>
  <c r="M55" i="11"/>
  <c r="L55" i="11"/>
  <c r="K55" i="11"/>
  <c r="D55" i="11"/>
  <c r="N54" i="11"/>
  <c r="M54" i="11"/>
  <c r="L54" i="11"/>
  <c r="K54" i="11"/>
  <c r="D54" i="11"/>
  <c r="N53" i="11"/>
  <c r="M53" i="11"/>
  <c r="L53" i="11"/>
  <c r="K53" i="11"/>
  <c r="D53" i="11"/>
  <c r="N52" i="11"/>
  <c r="M52" i="11"/>
  <c r="L52" i="11"/>
  <c r="K52" i="11"/>
  <c r="D52" i="11"/>
  <c r="N51" i="11"/>
  <c r="M51" i="11"/>
  <c r="L51" i="11"/>
  <c r="K51" i="11"/>
  <c r="D51" i="11"/>
  <c r="N50" i="11"/>
  <c r="M50" i="11"/>
  <c r="L50" i="11"/>
  <c r="K50" i="11"/>
  <c r="F50" i="11"/>
  <c r="D50" i="11"/>
  <c r="I49" i="11"/>
  <c r="J49" i="11" s="1"/>
  <c r="G49" i="11"/>
  <c r="H49" i="11" s="1"/>
  <c r="E49" i="11"/>
  <c r="L49" i="11" s="1"/>
  <c r="C49" i="11"/>
  <c r="D49" i="11" s="1"/>
  <c r="B49" i="11"/>
  <c r="B64" i="11" s="1"/>
  <c r="N64" i="11" s="1"/>
  <c r="N47" i="11"/>
  <c r="M47" i="11"/>
  <c r="L47" i="11"/>
  <c r="K47" i="11"/>
  <c r="F47" i="11"/>
  <c r="N46" i="11"/>
  <c r="M46" i="11"/>
  <c r="L46" i="11"/>
  <c r="K46" i="11"/>
  <c r="D46" i="11"/>
  <c r="N45" i="11"/>
  <c r="M45" i="11"/>
  <c r="L45" i="11"/>
  <c r="K45" i="11"/>
  <c r="F45" i="11"/>
  <c r="D45" i="11"/>
  <c r="I44" i="11"/>
  <c r="G44" i="11"/>
  <c r="L44" i="11" s="1"/>
  <c r="E44" i="11"/>
  <c r="M44" i="11" s="1"/>
  <c r="C44" i="11"/>
  <c r="D44" i="11" s="1"/>
  <c r="B44" i="11"/>
  <c r="N44" i="11" s="1"/>
  <c r="N42" i="11"/>
  <c r="M42" i="11"/>
  <c r="L42" i="11"/>
  <c r="K42" i="11"/>
  <c r="H42" i="11"/>
  <c r="F42" i="11"/>
  <c r="N41" i="11"/>
  <c r="M41" i="11"/>
  <c r="L41" i="11"/>
  <c r="K41" i="11"/>
  <c r="D41" i="11"/>
  <c r="N40" i="11"/>
  <c r="M40" i="11"/>
  <c r="L40" i="11"/>
  <c r="K40" i="11"/>
  <c r="F40" i="11"/>
  <c r="D40" i="11"/>
  <c r="N39" i="11"/>
  <c r="M39" i="11"/>
  <c r="L39" i="11"/>
  <c r="K39" i="11"/>
  <c r="D39" i="11"/>
  <c r="N38" i="11"/>
  <c r="M38" i="11"/>
  <c r="L38" i="11"/>
  <c r="K38" i="11"/>
  <c r="H38" i="11"/>
  <c r="N37" i="11"/>
  <c r="M37" i="11"/>
  <c r="L37" i="11"/>
  <c r="K37" i="11"/>
  <c r="H37" i="11"/>
  <c r="F37" i="11"/>
  <c r="D37" i="11"/>
  <c r="I36" i="11"/>
  <c r="J36" i="11" s="1"/>
  <c r="G36" i="11"/>
  <c r="H36" i="11" s="1"/>
  <c r="E36" i="11"/>
  <c r="L36" i="11" s="1"/>
  <c r="C36" i="11"/>
  <c r="D36" i="11" s="1"/>
  <c r="B36" i="11"/>
  <c r="N36" i="11" s="1"/>
  <c r="N34" i="11"/>
  <c r="M34" i="11"/>
  <c r="L34" i="11"/>
  <c r="K34" i="11"/>
  <c r="J34" i="11"/>
  <c r="H34" i="11"/>
  <c r="N33" i="11"/>
  <c r="M33" i="11"/>
  <c r="L33" i="11"/>
  <c r="K33" i="11"/>
  <c r="F33" i="11"/>
  <c r="N32" i="11"/>
  <c r="M32" i="11"/>
  <c r="L32" i="11"/>
  <c r="K32" i="11"/>
  <c r="H32" i="11"/>
  <c r="N31" i="11"/>
  <c r="M31" i="11"/>
  <c r="L31" i="11"/>
  <c r="K31" i="11"/>
  <c r="J31" i="11"/>
  <c r="N30" i="11"/>
  <c r="M30" i="11"/>
  <c r="L30" i="11"/>
  <c r="K30" i="11"/>
  <c r="J30" i="11"/>
  <c r="N29" i="11"/>
  <c r="M29" i="11"/>
  <c r="L29" i="11"/>
  <c r="K29" i="11"/>
  <c r="J29" i="11"/>
  <c r="H29" i="11"/>
  <c r="F29" i="11"/>
  <c r="I28" i="11"/>
  <c r="J28" i="11" s="1"/>
  <c r="G28" i="11"/>
  <c r="L28" i="11" s="1"/>
  <c r="E28" i="11"/>
  <c r="F28" i="11" s="1"/>
  <c r="C28" i="11"/>
  <c r="D28" i="11" s="1"/>
  <c r="B28" i="11"/>
  <c r="N28" i="11" s="1"/>
  <c r="N26" i="11"/>
  <c r="M26" i="11"/>
  <c r="L26" i="11"/>
  <c r="K26" i="11"/>
  <c r="F26" i="11"/>
  <c r="I25" i="11"/>
  <c r="J25" i="11" s="1"/>
  <c r="G25" i="11"/>
  <c r="H25" i="11" s="1"/>
  <c r="E25" i="11"/>
  <c r="L25" i="11" s="1"/>
  <c r="C25" i="11"/>
  <c r="D25" i="11" s="1"/>
  <c r="B25" i="11"/>
  <c r="N25" i="11" s="1"/>
  <c r="N23" i="11"/>
  <c r="M23" i="11"/>
  <c r="L23" i="11"/>
  <c r="K23" i="11"/>
  <c r="F23" i="11"/>
  <c r="N22" i="11"/>
  <c r="M22" i="11"/>
  <c r="L22" i="11"/>
  <c r="K22" i="11"/>
  <c r="H22" i="11"/>
  <c r="L21" i="11"/>
  <c r="I21" i="11"/>
  <c r="J21" i="11" s="1"/>
  <c r="H21" i="11"/>
  <c r="G21" i="11"/>
  <c r="K21" i="11" s="1"/>
  <c r="E21" i="11"/>
  <c r="F21" i="11" s="1"/>
  <c r="D21" i="11"/>
  <c r="C21" i="11"/>
  <c r="B21" i="11"/>
  <c r="N21" i="11" s="1"/>
  <c r="N19" i="11"/>
  <c r="M19" i="11"/>
  <c r="L19" i="11"/>
  <c r="K19" i="11"/>
  <c r="J19" i="11"/>
  <c r="H19" i="11"/>
  <c r="F19" i="11"/>
  <c r="N18" i="11"/>
  <c r="M18" i="11"/>
  <c r="L18" i="11"/>
  <c r="K18" i="11"/>
  <c r="F18" i="11"/>
  <c r="D18" i="11"/>
  <c r="N17" i="11"/>
  <c r="M17" i="11"/>
  <c r="L17" i="11"/>
  <c r="K17" i="11"/>
  <c r="H17" i="11"/>
  <c r="F17" i="11"/>
  <c r="D17" i="11"/>
  <c r="N16" i="11"/>
  <c r="M16" i="11"/>
  <c r="L16" i="11"/>
  <c r="K16" i="11"/>
  <c r="D16" i="11"/>
  <c r="N15" i="11"/>
  <c r="M15" i="11"/>
  <c r="L15" i="11"/>
  <c r="K15" i="11"/>
  <c r="F15" i="11"/>
  <c r="D15" i="11"/>
  <c r="N14" i="11"/>
  <c r="M14" i="11"/>
  <c r="L14" i="11"/>
  <c r="K14" i="11"/>
  <c r="J14" i="11"/>
  <c r="F14" i="11"/>
  <c r="N13" i="11"/>
  <c r="M13" i="11"/>
  <c r="L13" i="11"/>
  <c r="K13" i="11"/>
  <c r="D13" i="11"/>
  <c r="N12" i="11"/>
  <c r="M12" i="11"/>
  <c r="L12" i="11"/>
  <c r="K12" i="11"/>
  <c r="H12" i="11"/>
  <c r="F12" i="11"/>
  <c r="D12" i="11"/>
  <c r="N11" i="11"/>
  <c r="M11" i="11"/>
  <c r="L11" i="11"/>
  <c r="K11" i="11"/>
  <c r="F11" i="11"/>
  <c r="D11" i="11"/>
  <c r="N10" i="11"/>
  <c r="M10" i="11"/>
  <c r="L10" i="11"/>
  <c r="K10" i="11"/>
  <c r="F10" i="11"/>
  <c r="I9" i="11"/>
  <c r="J9" i="11" s="1"/>
  <c r="G9" i="11"/>
  <c r="H9" i="11" s="1"/>
  <c r="E9" i="11"/>
  <c r="L9" i="11" s="1"/>
  <c r="C9" i="11"/>
  <c r="D9" i="11" s="1"/>
  <c r="B9" i="11"/>
  <c r="N9" i="11" s="1"/>
  <c r="N15" i="9"/>
  <c r="I111" i="9"/>
  <c r="G111" i="9"/>
  <c r="E111" i="9"/>
  <c r="C111" i="9"/>
  <c r="B111" i="9"/>
  <c r="I46" i="9"/>
  <c r="G46" i="9"/>
  <c r="E46" i="9"/>
  <c r="C46" i="9"/>
  <c r="B46" i="9"/>
  <c r="I70" i="9"/>
  <c r="G70" i="9"/>
  <c r="E70" i="9"/>
  <c r="C70" i="9"/>
  <c r="B70" i="9"/>
  <c r="I93" i="9"/>
  <c r="G93" i="9"/>
  <c r="E93" i="9"/>
  <c r="C93" i="9"/>
  <c r="B93" i="9"/>
  <c r="I9" i="9"/>
  <c r="G9" i="9"/>
  <c r="E9" i="9"/>
  <c r="C9" i="9"/>
  <c r="B9" i="9"/>
  <c r="I53" i="9"/>
  <c r="G53" i="9"/>
  <c r="E53" i="9"/>
  <c r="C53" i="9"/>
  <c r="B53" i="9"/>
  <c r="I84" i="9"/>
  <c r="G84" i="9"/>
  <c r="E84" i="9"/>
  <c r="C84" i="9"/>
  <c r="B84" i="9"/>
  <c r="I36" i="9"/>
  <c r="G36" i="9"/>
  <c r="E36" i="9"/>
  <c r="C36" i="9"/>
  <c r="B36" i="9"/>
  <c r="I23" i="9"/>
  <c r="G23" i="9"/>
  <c r="E23" i="9"/>
  <c r="C23" i="9"/>
  <c r="B23" i="9"/>
  <c r="H64" i="11" l="1"/>
  <c r="K64" i="11"/>
  <c r="D64" i="11"/>
  <c r="M9" i="11"/>
  <c r="M25" i="11"/>
  <c r="K28" i="11"/>
  <c r="M36" i="11"/>
  <c r="F44" i="11"/>
  <c r="J44" i="11"/>
  <c r="M49" i="11"/>
  <c r="K61" i="11"/>
  <c r="E64" i="11"/>
  <c r="I64" i="11"/>
  <c r="J64" i="11" s="1"/>
  <c r="F9" i="11"/>
  <c r="M21" i="11"/>
  <c r="F25" i="11"/>
  <c r="H28" i="11"/>
  <c r="F36" i="11"/>
  <c r="K44" i="11"/>
  <c r="F49" i="11"/>
  <c r="N49" i="11"/>
  <c r="D61" i="11"/>
  <c r="H61" i="11"/>
  <c r="L61" i="11"/>
  <c r="K9" i="11"/>
  <c r="K25" i="11"/>
  <c r="M28" i="11"/>
  <c r="K36" i="11"/>
  <c r="H44" i="11"/>
  <c r="K49" i="11"/>
  <c r="M61" i="11"/>
  <c r="L64" i="11" l="1"/>
  <c r="F64" i="11"/>
  <c r="M64" i="11"/>
  <c r="L12" i="8" l="1"/>
  <c r="L9" i="8"/>
  <c r="L15" i="8"/>
  <c r="L14" i="8"/>
  <c r="L13" i="8"/>
  <c r="L11" i="8"/>
  <c r="L10" i="8"/>
  <c r="L8" i="8"/>
  <c r="L7" i="8"/>
  <c r="L6" i="8"/>
  <c r="L5" i="8"/>
  <c r="I115" i="9"/>
  <c r="G115" i="9"/>
  <c r="E115" i="9"/>
  <c r="C115" i="9"/>
  <c r="B115" i="9"/>
  <c r="N115" i="9"/>
  <c r="N113" i="9"/>
  <c r="M113" i="9"/>
  <c r="L113" i="9"/>
  <c r="K113" i="9"/>
  <c r="F113" i="9"/>
  <c r="N112" i="9"/>
  <c r="M112" i="9"/>
  <c r="L112" i="9"/>
  <c r="K112" i="9"/>
  <c r="D112" i="9"/>
  <c r="N111" i="9"/>
  <c r="M111" i="9"/>
  <c r="L111" i="9"/>
  <c r="K111" i="9"/>
  <c r="J111" i="9"/>
  <c r="H111" i="9"/>
  <c r="F111" i="9"/>
  <c r="D111" i="9"/>
  <c r="N51" i="9"/>
  <c r="M51" i="9"/>
  <c r="L51" i="9"/>
  <c r="K51" i="9"/>
  <c r="D51" i="9"/>
  <c r="N50" i="9"/>
  <c r="M50" i="9"/>
  <c r="L50" i="9"/>
  <c r="K50" i="9"/>
  <c r="D50" i="9"/>
  <c r="N49" i="9"/>
  <c r="M49" i="9"/>
  <c r="L49" i="9"/>
  <c r="K49" i="9"/>
  <c r="F49" i="9"/>
  <c r="D49" i="9"/>
  <c r="N48" i="9"/>
  <c r="M48" i="9"/>
  <c r="L48" i="9"/>
  <c r="K48" i="9"/>
  <c r="F48" i="9"/>
  <c r="N47" i="9"/>
  <c r="M47" i="9"/>
  <c r="L47" i="9"/>
  <c r="K47" i="9"/>
  <c r="F47" i="9"/>
  <c r="N46" i="9"/>
  <c r="M46" i="9"/>
  <c r="L46" i="9"/>
  <c r="K46" i="9"/>
  <c r="J46" i="9"/>
  <c r="H46" i="9"/>
  <c r="F46" i="9"/>
  <c r="D46" i="9"/>
  <c r="N68" i="9"/>
  <c r="M68" i="9"/>
  <c r="L68" i="9"/>
  <c r="K68" i="9"/>
  <c r="F68" i="9"/>
  <c r="N67" i="9"/>
  <c r="M67" i="9"/>
  <c r="L67" i="9"/>
  <c r="K67" i="9"/>
  <c r="F67" i="9"/>
  <c r="N66" i="9"/>
  <c r="M66" i="9"/>
  <c r="L66" i="9"/>
  <c r="K66" i="9"/>
  <c r="J66" i="9"/>
  <c r="H66" i="9"/>
  <c r="F66" i="9"/>
  <c r="D66" i="9"/>
  <c r="N82" i="9"/>
  <c r="M82" i="9"/>
  <c r="L82" i="9"/>
  <c r="K82" i="9"/>
  <c r="F82" i="9"/>
  <c r="D82" i="9"/>
  <c r="N81" i="9"/>
  <c r="M81" i="9"/>
  <c r="L81" i="9"/>
  <c r="K81" i="9"/>
  <c r="H81" i="9"/>
  <c r="D81" i="9"/>
  <c r="N80" i="9"/>
  <c r="M80" i="9"/>
  <c r="L80" i="9"/>
  <c r="K80" i="9"/>
  <c r="D80" i="9"/>
  <c r="N79" i="9"/>
  <c r="M79" i="9"/>
  <c r="L79" i="9"/>
  <c r="K79" i="9"/>
  <c r="F79" i="9"/>
  <c r="D79" i="9"/>
  <c r="N78" i="9"/>
  <c r="M78" i="9"/>
  <c r="L78" i="9"/>
  <c r="K78" i="9"/>
  <c r="D78" i="9"/>
  <c r="N77" i="9"/>
  <c r="M77" i="9"/>
  <c r="L77" i="9"/>
  <c r="K77" i="9"/>
  <c r="H77" i="9"/>
  <c r="D77" i="9"/>
  <c r="N76" i="9"/>
  <c r="M76" i="9"/>
  <c r="L76" i="9"/>
  <c r="K76" i="9"/>
  <c r="D76" i="9"/>
  <c r="N75" i="9"/>
  <c r="M75" i="9"/>
  <c r="L75" i="9"/>
  <c r="K75" i="9"/>
  <c r="D75" i="9"/>
  <c r="N74" i="9"/>
  <c r="M74" i="9"/>
  <c r="L74" i="9"/>
  <c r="K74" i="9"/>
  <c r="H74" i="9"/>
  <c r="F74" i="9"/>
  <c r="D74" i="9"/>
  <c r="N73" i="9"/>
  <c r="M73" i="9"/>
  <c r="L73" i="9"/>
  <c r="K73" i="9"/>
  <c r="J73" i="9"/>
  <c r="F73" i="9"/>
  <c r="D73" i="9"/>
  <c r="N72" i="9"/>
  <c r="M72" i="9"/>
  <c r="L72" i="9"/>
  <c r="K72" i="9"/>
  <c r="J72" i="9"/>
  <c r="F72" i="9"/>
  <c r="D72" i="9"/>
  <c r="N71" i="9"/>
  <c r="M71" i="9"/>
  <c r="L71" i="9"/>
  <c r="K71" i="9"/>
  <c r="D71" i="9"/>
  <c r="N70" i="9"/>
  <c r="M70" i="9"/>
  <c r="L70" i="9"/>
  <c r="K70" i="9"/>
  <c r="J70" i="9"/>
  <c r="H70" i="9"/>
  <c r="F70" i="9"/>
  <c r="D70" i="9"/>
  <c r="N105" i="9"/>
  <c r="M105" i="9"/>
  <c r="L105" i="9"/>
  <c r="K105" i="9"/>
  <c r="F105" i="9"/>
  <c r="D105" i="9"/>
  <c r="N104" i="9"/>
  <c r="M104" i="9"/>
  <c r="L104" i="9"/>
  <c r="K104" i="9"/>
  <c r="D104" i="9"/>
  <c r="N103" i="9"/>
  <c r="M103" i="9"/>
  <c r="L103" i="9"/>
  <c r="K103" i="9"/>
  <c r="D103" i="9"/>
  <c r="N102" i="9"/>
  <c r="M102" i="9"/>
  <c r="L102" i="9"/>
  <c r="K102" i="9"/>
  <c r="F102" i="9"/>
  <c r="D102" i="9"/>
  <c r="N101" i="9"/>
  <c r="M101" i="9"/>
  <c r="L101" i="9"/>
  <c r="K101" i="9"/>
  <c r="D101" i="9"/>
  <c r="N100" i="9"/>
  <c r="M100" i="9"/>
  <c r="L100" i="9"/>
  <c r="K100" i="9"/>
  <c r="F100" i="9"/>
  <c r="D100" i="9"/>
  <c r="N99" i="9"/>
  <c r="M99" i="9"/>
  <c r="L99" i="9"/>
  <c r="K99" i="9"/>
  <c r="D99" i="9"/>
  <c r="N98" i="9"/>
  <c r="M98" i="9"/>
  <c r="L98" i="9"/>
  <c r="K98" i="9"/>
  <c r="F98" i="9"/>
  <c r="D98" i="9"/>
  <c r="N97" i="9"/>
  <c r="M97" i="9"/>
  <c r="L97" i="9"/>
  <c r="K97" i="9"/>
  <c r="F97" i="9"/>
  <c r="D97" i="9"/>
  <c r="N96" i="9"/>
  <c r="M96" i="9"/>
  <c r="L96" i="9"/>
  <c r="K96" i="9"/>
  <c r="F96" i="9"/>
  <c r="D96" i="9"/>
  <c r="N95" i="9"/>
  <c r="M95" i="9"/>
  <c r="L95" i="9"/>
  <c r="K95" i="9"/>
  <c r="F95" i="9"/>
  <c r="D95" i="9"/>
  <c r="N94" i="9"/>
  <c r="M94" i="9"/>
  <c r="L94" i="9"/>
  <c r="K94" i="9"/>
  <c r="D94" i="9"/>
  <c r="N93" i="9"/>
  <c r="M93" i="9"/>
  <c r="L93" i="9"/>
  <c r="K93" i="9"/>
  <c r="J93" i="9"/>
  <c r="H93" i="9"/>
  <c r="F93" i="9"/>
  <c r="D93" i="9"/>
  <c r="N21" i="9"/>
  <c r="M21" i="9"/>
  <c r="L21" i="9"/>
  <c r="K21" i="9"/>
  <c r="J21" i="9"/>
  <c r="H21" i="9"/>
  <c r="F21" i="9"/>
  <c r="D21" i="9"/>
  <c r="N20" i="9"/>
  <c r="M20" i="9"/>
  <c r="L20" i="9"/>
  <c r="K20" i="9"/>
  <c r="H20" i="9"/>
  <c r="F20" i="9"/>
  <c r="D20" i="9"/>
  <c r="N19" i="9"/>
  <c r="M19" i="9"/>
  <c r="L19" i="9"/>
  <c r="K19" i="9"/>
  <c r="H19" i="9"/>
  <c r="F19" i="9"/>
  <c r="D19" i="9"/>
  <c r="N18" i="9"/>
  <c r="M18" i="9"/>
  <c r="L18" i="9"/>
  <c r="K18" i="9"/>
  <c r="J18" i="9"/>
  <c r="H18" i="9"/>
  <c r="F18" i="9"/>
  <c r="D18" i="9"/>
  <c r="N17" i="9"/>
  <c r="M17" i="9"/>
  <c r="L17" i="9"/>
  <c r="K17" i="9"/>
  <c r="D17" i="9"/>
  <c r="N16" i="9"/>
  <c r="M16" i="9"/>
  <c r="L16" i="9"/>
  <c r="K16" i="9"/>
  <c r="J16" i="9"/>
  <c r="H16" i="9"/>
  <c r="F16" i="9"/>
  <c r="D16" i="9"/>
  <c r="M15" i="9"/>
  <c r="L15" i="9"/>
  <c r="K15" i="9"/>
  <c r="H15" i="9"/>
  <c r="D15" i="9"/>
  <c r="N14" i="9"/>
  <c r="M14" i="9"/>
  <c r="L14" i="9"/>
  <c r="K14" i="9"/>
  <c r="H14" i="9"/>
  <c r="F14" i="9"/>
  <c r="D14" i="9"/>
  <c r="N13" i="9"/>
  <c r="M13" i="9"/>
  <c r="L13" i="9"/>
  <c r="K13" i="9"/>
  <c r="J13" i="9"/>
  <c r="H13" i="9"/>
  <c r="F13" i="9"/>
  <c r="D13" i="9"/>
  <c r="N12" i="9"/>
  <c r="M12" i="9"/>
  <c r="L12" i="9"/>
  <c r="K12" i="9"/>
  <c r="H12" i="9"/>
  <c r="F12" i="9"/>
  <c r="D12" i="9"/>
  <c r="N11" i="9"/>
  <c r="M11" i="9"/>
  <c r="L11" i="9"/>
  <c r="K11" i="9"/>
  <c r="J11" i="9"/>
  <c r="H11" i="9"/>
  <c r="F11" i="9"/>
  <c r="D11" i="9"/>
  <c r="N10" i="9"/>
  <c r="M10" i="9"/>
  <c r="L10" i="9"/>
  <c r="K10" i="9"/>
  <c r="H10" i="9"/>
  <c r="F10" i="9"/>
  <c r="D10" i="9"/>
  <c r="N9" i="9"/>
  <c r="M9" i="9"/>
  <c r="L9" i="9"/>
  <c r="K9" i="9"/>
  <c r="J9" i="9"/>
  <c r="H9" i="9"/>
  <c r="F9" i="9"/>
  <c r="D9" i="9"/>
  <c r="N64" i="9"/>
  <c r="M64" i="9"/>
  <c r="L64" i="9"/>
  <c r="K64" i="9"/>
  <c r="H64" i="9"/>
  <c r="F64" i="9"/>
  <c r="N63" i="9"/>
  <c r="M63" i="9"/>
  <c r="L63" i="9"/>
  <c r="K63" i="9"/>
  <c r="F63" i="9"/>
  <c r="N62" i="9"/>
  <c r="M62" i="9"/>
  <c r="L62" i="9"/>
  <c r="K62" i="9"/>
  <c r="J62" i="9"/>
  <c r="N61" i="9"/>
  <c r="M61" i="9"/>
  <c r="L61" i="9"/>
  <c r="K61" i="9"/>
  <c r="H61" i="9"/>
  <c r="F61" i="9"/>
  <c r="N60" i="9"/>
  <c r="M60" i="9"/>
  <c r="L60" i="9"/>
  <c r="K60" i="9"/>
  <c r="F60" i="9"/>
  <c r="N59" i="9"/>
  <c r="M59" i="9"/>
  <c r="L59" i="9"/>
  <c r="K59" i="9"/>
  <c r="D59" i="9"/>
  <c r="N58" i="9"/>
  <c r="M58" i="9"/>
  <c r="L58" i="9"/>
  <c r="K58" i="9"/>
  <c r="F58" i="9"/>
  <c r="N57" i="9"/>
  <c r="M57" i="9"/>
  <c r="L57" i="9"/>
  <c r="K57" i="9"/>
  <c r="J57" i="9"/>
  <c r="H57" i="9"/>
  <c r="F57" i="9"/>
  <c r="D57" i="9"/>
  <c r="N56" i="9"/>
  <c r="M56" i="9"/>
  <c r="L56" i="9"/>
  <c r="K56" i="9"/>
  <c r="H56" i="9"/>
  <c r="F56" i="9"/>
  <c r="N55" i="9"/>
  <c r="M55" i="9"/>
  <c r="L55" i="9"/>
  <c r="K55" i="9"/>
  <c r="H55" i="9"/>
  <c r="N54" i="9"/>
  <c r="M54" i="9"/>
  <c r="L54" i="9"/>
  <c r="K54" i="9"/>
  <c r="F54" i="9"/>
  <c r="N53" i="9"/>
  <c r="M53" i="9"/>
  <c r="L53" i="9"/>
  <c r="K53" i="9"/>
  <c r="J53" i="9"/>
  <c r="H53" i="9"/>
  <c r="F53" i="9"/>
  <c r="D53" i="9"/>
  <c r="N88" i="9"/>
  <c r="M88" i="9"/>
  <c r="L88" i="9"/>
  <c r="K88" i="9"/>
  <c r="H88" i="9"/>
  <c r="F88" i="9"/>
  <c r="N87" i="9"/>
  <c r="M87" i="9"/>
  <c r="L87" i="9"/>
  <c r="K87" i="9"/>
  <c r="F87" i="9"/>
  <c r="N86" i="9"/>
  <c r="M86" i="9"/>
  <c r="L86" i="9"/>
  <c r="K86" i="9"/>
  <c r="F86" i="9"/>
  <c r="N85" i="9"/>
  <c r="M85" i="9"/>
  <c r="L85" i="9"/>
  <c r="K85" i="9"/>
  <c r="F85" i="9"/>
  <c r="N84" i="9"/>
  <c r="M84" i="9"/>
  <c r="L84" i="9"/>
  <c r="K84" i="9"/>
  <c r="J84" i="9"/>
  <c r="H84" i="9"/>
  <c r="F84" i="9"/>
  <c r="D84" i="9"/>
  <c r="N44" i="9"/>
  <c r="M44" i="9"/>
  <c r="L44" i="9"/>
  <c r="K44" i="9"/>
  <c r="H44" i="9"/>
  <c r="F44" i="9"/>
  <c r="N43" i="9"/>
  <c r="M43" i="9"/>
  <c r="L43" i="9"/>
  <c r="K43" i="9"/>
  <c r="F43" i="9"/>
  <c r="N42" i="9"/>
  <c r="M42" i="9"/>
  <c r="L42" i="9"/>
  <c r="K42" i="9"/>
  <c r="H42" i="9"/>
  <c r="N41" i="9"/>
  <c r="M41" i="9"/>
  <c r="L41" i="9"/>
  <c r="K41" i="9"/>
  <c r="H41" i="9"/>
  <c r="N40" i="9"/>
  <c r="M40" i="9"/>
  <c r="L40" i="9"/>
  <c r="K40" i="9"/>
  <c r="H40" i="9"/>
  <c r="D40" i="9"/>
  <c r="N39" i="9"/>
  <c r="M39" i="9"/>
  <c r="L39" i="9"/>
  <c r="K39" i="9"/>
  <c r="H39" i="9"/>
  <c r="N38" i="9"/>
  <c r="M38" i="9"/>
  <c r="L38" i="9"/>
  <c r="K38" i="9"/>
  <c r="H38" i="9"/>
  <c r="N37" i="9"/>
  <c r="M37" i="9"/>
  <c r="L37" i="9"/>
  <c r="K37" i="9"/>
  <c r="J37" i="9"/>
  <c r="H37" i="9"/>
  <c r="F37" i="9"/>
  <c r="N36" i="9"/>
  <c r="M36" i="9"/>
  <c r="L36" i="9"/>
  <c r="K36" i="9"/>
  <c r="J36" i="9"/>
  <c r="H36" i="9"/>
  <c r="F36" i="9"/>
  <c r="D36" i="9"/>
  <c r="M34" i="9"/>
  <c r="L34" i="9"/>
  <c r="K34" i="9"/>
  <c r="J34" i="9"/>
  <c r="H34" i="9"/>
  <c r="F34" i="9"/>
  <c r="D34" i="9"/>
  <c r="M33" i="9"/>
  <c r="L33" i="9"/>
  <c r="K33" i="9"/>
  <c r="J33" i="9"/>
  <c r="H33" i="9"/>
  <c r="M32" i="9"/>
  <c r="L32" i="9"/>
  <c r="K32" i="9"/>
  <c r="J32" i="9"/>
  <c r="H32" i="9"/>
  <c r="F32" i="9"/>
  <c r="M31" i="9"/>
  <c r="L31" i="9"/>
  <c r="K31" i="9"/>
  <c r="H31" i="9"/>
  <c r="M30" i="9"/>
  <c r="L30" i="9"/>
  <c r="K30" i="9"/>
  <c r="H30" i="9"/>
  <c r="F30" i="9"/>
  <c r="M29" i="9"/>
  <c r="L29" i="9"/>
  <c r="K29" i="9"/>
  <c r="H29" i="9"/>
  <c r="F29" i="9"/>
  <c r="D29" i="9"/>
  <c r="M28" i="9"/>
  <c r="L28" i="9"/>
  <c r="K28" i="9"/>
  <c r="H28" i="9"/>
  <c r="F28" i="9"/>
  <c r="M27" i="9"/>
  <c r="L27" i="9"/>
  <c r="K27" i="9"/>
  <c r="J27" i="9"/>
  <c r="H27" i="9"/>
  <c r="F27" i="9"/>
  <c r="M26" i="9"/>
  <c r="L26" i="9"/>
  <c r="K26" i="9"/>
  <c r="J26" i="9"/>
  <c r="H26" i="9"/>
  <c r="F26" i="9"/>
  <c r="M25" i="9"/>
  <c r="L25" i="9"/>
  <c r="K25" i="9"/>
  <c r="H25" i="9"/>
  <c r="F25" i="9"/>
  <c r="M24" i="9"/>
  <c r="L24" i="9"/>
  <c r="K24" i="9"/>
  <c r="H24" i="9"/>
  <c r="F24" i="9"/>
  <c r="D24" i="9"/>
  <c r="M23" i="9"/>
  <c r="L23" i="9"/>
  <c r="K23" i="9"/>
  <c r="J23" i="9"/>
  <c r="H23" i="9"/>
  <c r="F23" i="9"/>
  <c r="D23" i="9"/>
  <c r="N109" i="9"/>
  <c r="M109" i="9"/>
  <c r="L109" i="9"/>
  <c r="K109" i="9"/>
  <c r="F109" i="9"/>
  <c r="D109" i="9"/>
  <c r="N108" i="9"/>
  <c r="M108" i="9"/>
  <c r="L108" i="9"/>
  <c r="K108" i="9"/>
  <c r="F108" i="9"/>
  <c r="N107" i="9"/>
  <c r="M107" i="9"/>
  <c r="L107" i="9"/>
  <c r="K107" i="9"/>
  <c r="J107" i="9"/>
  <c r="H107" i="9"/>
  <c r="F107" i="9"/>
  <c r="D107" i="9"/>
  <c r="N91" i="9"/>
  <c r="M91" i="9"/>
  <c r="L91" i="9"/>
  <c r="K91" i="9"/>
  <c r="F91" i="9"/>
  <c r="D91" i="9"/>
  <c r="N90" i="9"/>
  <c r="M90" i="9"/>
  <c r="L90" i="9"/>
  <c r="K90" i="9"/>
  <c r="J90" i="9"/>
  <c r="H90" i="9"/>
  <c r="F90" i="9"/>
  <c r="D90" i="9"/>
  <c r="D115" i="9" l="1"/>
  <c r="J115" i="9"/>
  <c r="F115" i="9"/>
  <c r="H115" i="9"/>
  <c r="K115" i="9"/>
  <c r="L115" i="9"/>
  <c r="M115" i="9"/>
  <c r="M15" i="8" l="1"/>
  <c r="M7" i="8"/>
  <c r="M8" i="8"/>
  <c r="M10" i="8"/>
  <c r="M11" i="8"/>
  <c r="M13" i="8"/>
  <c r="M14" i="8"/>
  <c r="M6" i="8"/>
  <c r="M5" i="8"/>
  <c r="K16" i="8" l="1"/>
  <c r="J16" i="8"/>
  <c r="M16" i="8" s="1"/>
  <c r="I16" i="8"/>
  <c r="C16" i="8"/>
  <c r="D16" i="8"/>
  <c r="N10" i="8"/>
  <c r="N11" i="8"/>
  <c r="N13" i="8"/>
  <c r="N14" i="8"/>
  <c r="N5" i="8"/>
  <c r="N6" i="8"/>
  <c r="N7" i="8"/>
  <c r="S6" i="8"/>
  <c r="S7" i="8"/>
  <c r="S8" i="8"/>
  <c r="S10" i="8"/>
  <c r="S11" i="8"/>
  <c r="S13" i="8"/>
  <c r="S14" i="8"/>
  <c r="S5" i="8" l="1"/>
  <c r="N8" i="8"/>
  <c r="R16" i="8"/>
  <c r="E16" i="8"/>
  <c r="N16" i="8" s="1"/>
  <c r="S16" i="8" l="1"/>
</calcChain>
</file>

<file path=xl/sharedStrings.xml><?xml version="1.0" encoding="utf-8"?>
<sst xmlns="http://schemas.openxmlformats.org/spreadsheetml/2006/main" count="736" uniqueCount="237">
  <si>
    <t>Предмет</t>
  </si>
  <si>
    <t>Название ОО</t>
  </si>
  <si>
    <t>Кол-во участников</t>
  </si>
  <si>
    <t>Оценка "2"</t>
  </si>
  <si>
    <t>Оценка "3"</t>
  </si>
  <si>
    <t>Оценка "4"</t>
  </si>
  <si>
    <t>Оценка "5"</t>
  </si>
  <si>
    <t>Оценка "4" и "5"</t>
  </si>
  <si>
    <t>Оценка 
"3,"4" и "5"</t>
  </si>
  <si>
    <t>чел.</t>
  </si>
  <si>
    <t>%</t>
  </si>
  <si>
    <t>(1) Русский язык</t>
  </si>
  <si>
    <t>(410003) МКОУ "Генухская СОШ"</t>
  </si>
  <si>
    <t>(410004) МКОУ "Гутатлинская СОШ"</t>
  </si>
  <si>
    <t>(410005) МКОУ "Кидиринская СОШ"</t>
  </si>
  <si>
    <t>(410008) МКОУ "Междуреченская СОШ"</t>
  </si>
  <si>
    <t>(410010) МКОУ "Мококская СОШ"</t>
  </si>
  <si>
    <t>(410011) МКОУ "Ретлобская СОШ"</t>
  </si>
  <si>
    <t>(410012) МКОУ "Сагадинская СОШ"</t>
  </si>
  <si>
    <t>(410013) МКОУ "Хебатлинская СОШ"</t>
  </si>
  <si>
    <t>(410014) МКОУ "Хибятлинская СОШ"</t>
  </si>
  <si>
    <t>(410016) МКОУ "Хутрахская СОШ"</t>
  </si>
  <si>
    <t>(410017) МКОУ "Цебаринская СОШ"</t>
  </si>
  <si>
    <t>(410018) МКОУ "Шаитлинская СОШ"</t>
  </si>
  <si>
    <t>(410020) МКОУ "Шауринская СОШ"</t>
  </si>
  <si>
    <t>(410021) МКОУ "Зехидинская ООШ"</t>
  </si>
  <si>
    <t>(2) Математика</t>
  </si>
  <si>
    <t>АТЕ</t>
  </si>
  <si>
    <t>Всего участников</t>
  </si>
  <si>
    <t>Участников с ОВЗ</t>
  </si>
  <si>
    <t>(41) Цунтинский район</t>
  </si>
  <si>
    <t>Результаты ГИА-9 по АТЕ</t>
  </si>
  <si>
    <t>ОО</t>
  </si>
  <si>
    <t>Не преодолели порог, кол-во</t>
  </si>
  <si>
    <t>Не преодолели порог, доля</t>
  </si>
  <si>
    <t>от порога до 60, кол-во</t>
  </si>
  <si>
    <t>от порога до 60, доля</t>
  </si>
  <si>
    <t>от 61 до 80, кол-во</t>
  </si>
  <si>
    <t>от 61 до 80, доля</t>
  </si>
  <si>
    <t>от 81 до 100, кол-во</t>
  </si>
  <si>
    <t>от 81 до 100, доля</t>
  </si>
  <si>
    <t>Средний балл</t>
  </si>
  <si>
    <t>(2) Математика профильная</t>
  </si>
  <si>
    <t>(3) Физика</t>
  </si>
  <si>
    <t>(4) Химия</t>
  </si>
  <si>
    <t>(6) Биология</t>
  </si>
  <si>
    <t>(7) История</t>
  </si>
  <si>
    <t>(12) Обществознание</t>
  </si>
  <si>
    <t>(18) Литература</t>
  </si>
  <si>
    <t>Высокие и низкие результаты по ОО ГИА-11</t>
  </si>
  <si>
    <t>Наиболее высокие и низкие результаты ОГЭ по ОО</t>
  </si>
  <si>
    <t>Код предмета</t>
  </si>
  <si>
    <t>Код АТЕ</t>
  </si>
  <si>
    <t>Наименование АТЕ</t>
  </si>
  <si>
    <t>0-9</t>
  </si>
  <si>
    <t>_10-19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</si>
  <si>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</si>
  <si>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</si>
  <si>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</si>
  <si>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</si>
  <si>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</si>
  <si>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</si>
  <si>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</si>
  <si>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</si>
  <si>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Русский язык</t>
  </si>
  <si>
    <t>Цунтинский район</t>
  </si>
  <si>
    <t>Физика</t>
  </si>
  <si>
    <t>Химия</t>
  </si>
  <si>
    <t>Биология</t>
  </si>
  <si>
    <t>История</t>
  </si>
  <si>
    <t>Обществознание</t>
  </si>
  <si>
    <t>Литература</t>
  </si>
  <si>
    <t>Математика проф.</t>
  </si>
  <si>
    <t>Результаты по АТЕ (распределение баллов) ГИА-11</t>
  </si>
  <si>
    <t>Результаты ЕГЭ по АТЕ</t>
  </si>
  <si>
    <t>от 81 до 99, кол-во</t>
  </si>
  <si>
    <t>от 81 до 99, доля</t>
  </si>
  <si>
    <t>100 баллов, кол-во</t>
  </si>
  <si>
    <t>(2) Математика проф.</t>
  </si>
  <si>
    <t>Суммы баллов по всем предметам</t>
  </si>
  <si>
    <t>Код ОО</t>
  </si>
  <si>
    <t>Наименование ОО</t>
  </si>
  <si>
    <t>Фамилия</t>
  </si>
  <si>
    <t>Имя</t>
  </si>
  <si>
    <t>Отчество</t>
  </si>
  <si>
    <t>Сумма по трем лучшим  предметам</t>
  </si>
  <si>
    <t>Количество предметов</t>
  </si>
  <si>
    <t>Сумма по всем предметам</t>
  </si>
  <si>
    <t>МКОУ "Генухская СОШ"</t>
  </si>
  <si>
    <t>Алиев</t>
  </si>
  <si>
    <t>Абдурахман</t>
  </si>
  <si>
    <t>Рамазанович</t>
  </si>
  <si>
    <t>Нурулгуда</t>
  </si>
  <si>
    <t>Ибрагимхалилович</t>
  </si>
  <si>
    <t>Гамидов</t>
  </si>
  <si>
    <t>Шарип</t>
  </si>
  <si>
    <t>Магомедович</t>
  </si>
  <si>
    <t>МКОУ "Гутатлинская СОШ"</t>
  </si>
  <si>
    <t>Магомедова</t>
  </si>
  <si>
    <t>Мадинат</t>
  </si>
  <si>
    <t>Рамазановна</t>
  </si>
  <si>
    <t>Марият</t>
  </si>
  <si>
    <t>Ханапиевна</t>
  </si>
  <si>
    <t>Мулейкат</t>
  </si>
  <si>
    <t>Магомедовна</t>
  </si>
  <si>
    <t>Хава</t>
  </si>
  <si>
    <t>Юсуповна</t>
  </si>
  <si>
    <t>МКОУ "Кидиринская СОШ"</t>
  </si>
  <si>
    <t>Абулмуслимова</t>
  </si>
  <si>
    <t>Хадижат</t>
  </si>
  <si>
    <t>Алиевна</t>
  </si>
  <si>
    <t>Ахмедов</t>
  </si>
  <si>
    <t>Рамазан</t>
  </si>
  <si>
    <t>Шамилович</t>
  </si>
  <si>
    <t>Шарапудин</t>
  </si>
  <si>
    <t>Ахмедович</t>
  </si>
  <si>
    <t>Газалиев</t>
  </si>
  <si>
    <t>Ибрагимов</t>
  </si>
  <si>
    <t>Сафиюла</t>
  </si>
  <si>
    <t>Абдулкадирович</t>
  </si>
  <si>
    <t>Исаев</t>
  </si>
  <si>
    <t>Алибег</t>
  </si>
  <si>
    <t>Ибрагимович</t>
  </si>
  <si>
    <t>Магомедов</t>
  </si>
  <si>
    <t>Аюбханович</t>
  </si>
  <si>
    <t>Магомед</t>
  </si>
  <si>
    <t>Магомедзамирович</t>
  </si>
  <si>
    <t>Айшат</t>
  </si>
  <si>
    <t>Рашидовна</t>
  </si>
  <si>
    <t>МКОУ "Междуреченская СОШ"</t>
  </si>
  <si>
    <t>Хайбулаев</t>
  </si>
  <si>
    <t>Саидафанди</t>
  </si>
  <si>
    <t>Талимович</t>
  </si>
  <si>
    <t>МКОУ "Мококская СОШ"</t>
  </si>
  <si>
    <t>Абдулазизова</t>
  </si>
  <si>
    <t>Калимат</t>
  </si>
  <si>
    <t>Абулиева</t>
  </si>
  <si>
    <t>Патимат</t>
  </si>
  <si>
    <t>Сулеймановна</t>
  </si>
  <si>
    <t>Сафийа</t>
  </si>
  <si>
    <t>МКОУ "Ретлобская СОШ"</t>
  </si>
  <si>
    <t>Магдиев</t>
  </si>
  <si>
    <t>Микаил</t>
  </si>
  <si>
    <t>Гамзатович</t>
  </si>
  <si>
    <t>Раджабов</t>
  </si>
  <si>
    <t>Магомедрасул</t>
  </si>
  <si>
    <t>МКОУ "Хебатлинская СОШ"</t>
  </si>
  <si>
    <t>Патиматзагра</t>
  </si>
  <si>
    <t>Салманова</t>
  </si>
  <si>
    <t>Фарида</t>
  </si>
  <si>
    <t>Халитов</t>
  </si>
  <si>
    <t>Идрис</t>
  </si>
  <si>
    <t>МКОУ "Хутрахская СОШ"</t>
  </si>
  <si>
    <t>Арипов</t>
  </si>
  <si>
    <t>Али</t>
  </si>
  <si>
    <t>Махмудович</t>
  </si>
  <si>
    <t>Исакова</t>
  </si>
  <si>
    <t>Аминат</t>
  </si>
  <si>
    <t>Гамзатовна</t>
  </si>
  <si>
    <t>Исак</t>
  </si>
  <si>
    <t>Пахрудинович</t>
  </si>
  <si>
    <t>Шамиль</t>
  </si>
  <si>
    <t>Гусенович</t>
  </si>
  <si>
    <t>Хаписат</t>
  </si>
  <si>
    <t>Сиражудиновна</t>
  </si>
  <si>
    <t>МКОУ "Шаитлинская СОШ"</t>
  </si>
  <si>
    <t>Абдулкадырова</t>
  </si>
  <si>
    <t>Азма</t>
  </si>
  <si>
    <t>Гусейновна</t>
  </si>
  <si>
    <t>Абдухаликова</t>
  </si>
  <si>
    <t>Анас</t>
  </si>
  <si>
    <t>Исаевич</t>
  </si>
  <si>
    <t>Исрапилова</t>
  </si>
  <si>
    <t>Газиевна</t>
  </si>
  <si>
    <t>Курачев</t>
  </si>
  <si>
    <t>Курач</t>
  </si>
  <si>
    <t>Абакарович</t>
  </si>
  <si>
    <t>Магомедшапиева</t>
  </si>
  <si>
    <t>Залина</t>
  </si>
  <si>
    <t>Османовна</t>
  </si>
  <si>
    <t>Муртазалиев</t>
  </si>
  <si>
    <t>Абдула</t>
  </si>
  <si>
    <t>Мусаевич</t>
  </si>
  <si>
    <t>Шамсудинов</t>
  </si>
  <si>
    <t>Ахмед</t>
  </si>
  <si>
    <t>Шамсудинович</t>
  </si>
  <si>
    <t>МКОУ "Шауринская СОШ"</t>
  </si>
  <si>
    <t>Идрисов</t>
  </si>
  <si>
    <t>Юсуп</t>
  </si>
  <si>
    <t>Идрисова</t>
  </si>
  <si>
    <t>Гусеновна</t>
  </si>
  <si>
    <t>Мусаева</t>
  </si>
  <si>
    <t>Магомедрамазановна</t>
  </si>
  <si>
    <t>Код и наименование ОО</t>
  </si>
  <si>
    <t>до 160, чел.</t>
  </si>
  <si>
    <t>до 160, %</t>
  </si>
  <si>
    <t>от 161 до 220, чел.</t>
  </si>
  <si>
    <t>от 160 до 220, %</t>
  </si>
  <si>
    <t>от 221 до 250, чел.</t>
  </si>
  <si>
    <t>от 221 до 250, %</t>
  </si>
  <si>
    <t>от 251 до 300, чел.</t>
  </si>
  <si>
    <t>от 251 до 300, %</t>
  </si>
  <si>
    <t>Сумма баллов по трем предметам ЕГЭ по ОО ГИА-11</t>
  </si>
  <si>
    <t>№</t>
  </si>
  <si>
    <t>Код предмета/ Предмет</t>
  </si>
  <si>
    <r>
      <t xml:space="preserve">Кол-во участников 
</t>
    </r>
    <r>
      <rPr>
        <b/>
        <sz val="11"/>
        <color rgb="FFFF0000"/>
        <rFont val="Calibri"/>
        <family val="2"/>
        <charset val="204"/>
        <scheme val="minor"/>
      </rPr>
      <t xml:space="preserve">НЕ </t>
    </r>
    <r>
      <rPr>
        <b/>
        <sz val="11"/>
        <color rgb="FF000000"/>
        <rFont val="Calibri"/>
        <family val="2"/>
        <charset val="204"/>
        <scheme val="minor"/>
      </rPr>
      <t>преодолевших  минимальный порог</t>
    </r>
  </si>
  <si>
    <t>Доля участников преодолевших  минимальный порог</t>
  </si>
  <si>
    <t>Кол-во и доля участников
набравшие от 80 баллов и выше</t>
  </si>
  <si>
    <t>(2) Математика (проф.)</t>
  </si>
  <si>
    <t>(5) Информатика и ИКТ</t>
  </si>
  <si>
    <t>(8) География</t>
  </si>
  <si>
    <t>(8) Литература</t>
  </si>
  <si>
    <t>(9) Английский язык</t>
  </si>
  <si>
    <t>ИТОГО:</t>
  </si>
  <si>
    <t>* - в  категорию "выпускники текущего года (ВТГ)" включены участники ЕГЭ не прошедшие ГИА в предыдущие годы</t>
  </si>
  <si>
    <t>СВОДНАЯ ТАБЛИЦА ПО ГИА-11 МР "ЦУНТИНСКИЙ РАЙОН"</t>
  </si>
  <si>
    <t xml:space="preserve">за 2018 - 2019 учебный год </t>
  </si>
  <si>
    <t>Кол-во выпол-нявших работу</t>
  </si>
  <si>
    <t>Результаты</t>
  </si>
  <si>
    <t>Уровень качества знаний</t>
  </si>
  <si>
    <t>Уровень успеваемости</t>
  </si>
  <si>
    <t>Средний балл (оценка)</t>
  </si>
  <si>
    <t>«2»</t>
  </si>
  <si>
    <t>«3»</t>
  </si>
  <si>
    <t>«4»</t>
  </si>
  <si>
    <t>«5»</t>
  </si>
  <si>
    <t>География</t>
  </si>
  <si>
    <t>МКОУ "Сагадинская СОШ"</t>
  </si>
  <si>
    <t>Математика Б</t>
  </si>
  <si>
    <t>МКОУ "Цебаринская СОШ"</t>
  </si>
  <si>
    <t>Математика П</t>
  </si>
  <si>
    <t>Информатика</t>
  </si>
  <si>
    <t>Английский язык</t>
  </si>
  <si>
    <r>
      <t xml:space="preserve">РЕЗУЛЬТАТЫ ЕГЭ </t>
    </r>
    <r>
      <rPr>
        <b/>
        <sz val="12"/>
        <color rgb="FFC00000"/>
        <rFont val="Calibri"/>
        <family val="2"/>
        <charset val="204"/>
        <scheme val="minor"/>
      </rPr>
      <t>ВЫПУСКНИКОВ ТЕКУЩЕГО ГОДА</t>
    </r>
    <r>
      <rPr>
        <b/>
        <sz val="12"/>
        <rFont val="Calibri"/>
        <family val="2"/>
        <charset val="204"/>
        <scheme val="minor"/>
      </rPr>
      <t xml:space="preserve"> за 2019-2021Г.Г.</t>
    </r>
  </si>
  <si>
    <t xml:space="preserve">за 2019 - 2020 учебный год </t>
  </si>
  <si>
    <t xml:space="preserve">за 2020 - 2021 учебный год </t>
  </si>
  <si>
    <t>Английский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</si>
</sst>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trike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10" fontId="2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17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vertical="center"/>
    </xf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/>
    </xf>
    <xf numFmtId="9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 wrapText="1"/>
    </xf>
    <xf numFmtId="9" fontId="18" fillId="0" borderId="2" xfId="0" applyNumberFormat="1" applyFont="1" applyBorder="1" applyAlignment="1">
      <alignment horizontal="right" vertical="center" wrapText="1"/>
    </xf>
    <xf numFmtId="2" fontId="18" fillId="0" borderId="2" xfId="0" applyNumberFormat="1" applyFont="1" applyBorder="1" applyAlignment="1">
      <alignment horizontal="right" vertical="center"/>
    </xf>
    <xf numFmtId="164" fontId="18" fillId="0" borderId="2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right" vertical="center" wrapText="1"/>
    </xf>
    <xf numFmtId="9" fontId="17" fillId="0" borderId="0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Fill="1" applyBorder="1" applyAlignment="1">
      <alignment horizontal="right" vertical="center"/>
    </xf>
    <xf numFmtId="164" fontId="17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horizontal="left" vertical="center" wrapText="1" shrinkToFit="1"/>
      <protection locked="0"/>
    </xf>
    <xf numFmtId="0" fontId="18" fillId="0" borderId="2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9" fontId="17" fillId="0" borderId="0" xfId="0" applyNumberFormat="1" applyFont="1" applyBorder="1" applyAlignment="1">
      <alignment horizontal="right" vertical="center" wrapText="1"/>
    </xf>
    <xf numFmtId="2" fontId="17" fillId="0" borderId="0" xfId="0" applyNumberFormat="1" applyFont="1" applyBorder="1" applyAlignment="1">
      <alignment horizontal="right" vertical="center"/>
    </xf>
    <xf numFmtId="0" fontId="17" fillId="0" borderId="0" xfId="0" applyFont="1" applyFill="1" applyBorder="1" applyAlignment="1" applyProtection="1">
      <alignment horizontal="left" vertical="center" wrapText="1" shrinkToFit="1"/>
      <protection locked="0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20" fillId="0" borderId="0" xfId="0" applyFont="1" applyFill="1" applyBorder="1" applyAlignment="1" applyProtection="1">
      <alignment horizontal="left" vertical="center" wrapText="1" shrinkToFit="1"/>
      <protection locked="0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9" fontId="20" fillId="0" borderId="0" xfId="0" applyNumberFormat="1" applyFont="1" applyFill="1" applyBorder="1" applyAlignment="1">
      <alignment horizontal="right" vertical="center" wrapText="1"/>
    </xf>
    <xf numFmtId="2" fontId="20" fillId="0" borderId="0" xfId="0" applyNumberFormat="1" applyFont="1" applyFill="1" applyBorder="1" applyAlignment="1">
      <alignment horizontal="right" vertical="center"/>
    </xf>
    <xf numFmtId="164" fontId="20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2" xfId="0" applyFont="1" applyBorder="1" applyAlignment="1">
      <alignment vertical="center" wrapText="1"/>
    </xf>
    <xf numFmtId="9" fontId="21" fillId="0" borderId="2" xfId="0" applyNumberFormat="1" applyFont="1" applyBorder="1" applyAlignment="1">
      <alignment horizontal="right" vertical="center" wrapText="1"/>
    </xf>
    <xf numFmtId="2" fontId="21" fillId="0" borderId="2" xfId="0" applyNumberFormat="1" applyFont="1" applyBorder="1" applyAlignment="1">
      <alignment horizontal="right" vertical="center"/>
    </xf>
    <xf numFmtId="164" fontId="21" fillId="0" borderId="2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2" fontId="18" fillId="0" borderId="2" xfId="0" applyNumberFormat="1" applyFont="1" applyBorder="1" applyAlignment="1">
      <alignment vertical="center"/>
    </xf>
    <xf numFmtId="2" fontId="17" fillId="0" borderId="0" xfId="0" applyNumberFormat="1" applyFont="1" applyFill="1" applyBorder="1" applyAlignment="1">
      <alignment vertical="center"/>
    </xf>
    <xf numFmtId="2" fontId="20" fillId="0" borderId="0" xfId="0" applyNumberFormat="1" applyFont="1" applyFill="1" applyBorder="1" applyAlignment="1">
      <alignment vertical="center"/>
    </xf>
    <xf numFmtId="2" fontId="21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9" fontId="20" fillId="0" borderId="12" xfId="0" applyNumberFormat="1" applyFont="1" applyFill="1" applyBorder="1" applyAlignment="1">
      <alignment horizontal="right" vertical="center" wrapText="1"/>
    </xf>
    <xf numFmtId="9" fontId="17" fillId="0" borderId="12" xfId="0" applyNumberFormat="1" applyFont="1" applyFill="1" applyBorder="1" applyAlignment="1">
      <alignment horizontal="right" vertical="center" wrapText="1"/>
    </xf>
    <xf numFmtId="2" fontId="20" fillId="0" borderId="12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vertical="center"/>
    </xf>
    <xf numFmtId="2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7" fillId="0" borderId="0" xfId="0" applyFont="1" applyBorder="1" applyAlignment="1">
      <alignment horizontal="right" vertical="top" wrapText="1"/>
    </xf>
    <xf numFmtId="164" fontId="17" fillId="0" borderId="0" xfId="0" applyNumberFormat="1" applyFont="1" applyBorder="1" applyAlignment="1">
      <alignment horizontal="right" vertical="center"/>
    </xf>
    <xf numFmtId="164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top" wrapText="1"/>
    </xf>
    <xf numFmtId="0" fontId="21" fillId="0" borderId="0" xfId="0" applyFont="1" applyBorder="1" applyAlignment="1">
      <alignment vertical="center"/>
    </xf>
    <xf numFmtId="164" fontId="17" fillId="0" borderId="0" xfId="0" applyNumberFormat="1" applyFont="1" applyFill="1" applyBorder="1" applyAlignment="1">
      <alignment horizontal="right" vertical="center"/>
    </xf>
    <xf numFmtId="1" fontId="10" fillId="0" borderId="16" xfId="0" applyNumberFormat="1" applyFont="1" applyBorder="1" applyAlignment="1">
      <alignment horizontal="right" vertical="center" indent="1"/>
    </xf>
    <xf numFmtId="1" fontId="0" fillId="3" borderId="16" xfId="0" applyNumberFormat="1" applyFont="1" applyFill="1" applyBorder="1" applyAlignment="1">
      <alignment horizontal="right" vertical="center" indent="1"/>
    </xf>
    <xf numFmtId="1" fontId="9" fillId="0" borderId="2" xfId="0" applyNumberFormat="1" applyFont="1" applyFill="1" applyBorder="1" applyAlignment="1">
      <alignment horizontal="right" vertical="center" wrapText="1" indent="1"/>
    </xf>
    <xf numFmtId="1" fontId="0" fillId="3" borderId="2" xfId="0" applyNumberFormat="1" applyFont="1" applyFill="1" applyBorder="1" applyAlignment="1">
      <alignment horizontal="right" vertical="center" indent="1"/>
    </xf>
    <xf numFmtId="1" fontId="9" fillId="0" borderId="1" xfId="0" applyNumberFormat="1" applyFont="1" applyFill="1" applyBorder="1" applyAlignment="1">
      <alignment horizontal="right" vertical="center" wrapText="1" indent="1"/>
    </xf>
    <xf numFmtId="1" fontId="0" fillId="3" borderId="1" xfId="0" applyNumberFormat="1" applyFont="1" applyFill="1" applyBorder="1" applyAlignment="1">
      <alignment horizontal="right" vertical="center" indent="1"/>
    </xf>
    <xf numFmtId="1" fontId="6" fillId="0" borderId="12" xfId="0" applyNumberFormat="1" applyFont="1" applyFill="1" applyBorder="1" applyAlignment="1">
      <alignment horizontal="right" vertical="center" wrapText="1" indent="1"/>
    </xf>
    <xf numFmtId="1" fontId="6" fillId="3" borderId="12" xfId="0" applyNumberFormat="1" applyFont="1" applyFill="1" applyBorder="1" applyAlignment="1">
      <alignment horizontal="right" vertical="center" wrapText="1" indent="1"/>
    </xf>
    <xf numFmtId="0" fontId="0" fillId="0" borderId="16" xfId="0" applyFont="1" applyBorder="1" applyAlignment="1">
      <alignment horizontal="right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wrapText="1"/>
    </xf>
    <xf numFmtId="1" fontId="9" fillId="0" borderId="16" xfId="0" applyNumberFormat="1" applyFont="1" applyFill="1" applyBorder="1" applyAlignment="1">
      <alignment horizontal="right" vertical="center" wrapText="1"/>
    </xf>
    <xf numFmtId="0" fontId="0" fillId="0" borderId="16" xfId="0" applyFont="1" applyBorder="1" applyAlignment="1">
      <alignment horizontal="right" vertical="center"/>
    </xf>
    <xf numFmtId="0" fontId="0" fillId="3" borderId="16" xfId="0" applyFont="1" applyFill="1" applyBorder="1" applyAlignment="1">
      <alignment horizontal="right" vertical="center"/>
    </xf>
    <xf numFmtId="9" fontId="0" fillId="4" borderId="16" xfId="0" applyNumberFormat="1" applyFont="1" applyFill="1" applyBorder="1" applyAlignment="1">
      <alignment horizontal="right" vertical="center"/>
    </xf>
    <xf numFmtId="9" fontId="0" fillId="3" borderId="2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 wrapText="1"/>
    </xf>
    <xf numFmtId="9" fontId="9" fillId="0" borderId="3" xfId="0" applyNumberFormat="1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9" fontId="9" fillId="3" borderId="3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1" fontId="9" fillId="0" borderId="2" xfId="0" applyNumberFormat="1" applyFont="1" applyFill="1" applyBorder="1" applyAlignment="1">
      <alignment horizontal="right" vertical="center" wrapText="1"/>
    </xf>
    <xf numFmtId="9" fontId="0" fillId="4" borderId="2" xfId="0" applyNumberFormat="1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1" fontId="0" fillId="0" borderId="1" xfId="0" applyNumberFormat="1" applyFont="1" applyFill="1" applyBorder="1" applyAlignment="1">
      <alignment horizontal="right" vertical="center" wrapText="1"/>
    </xf>
    <xf numFmtId="9" fontId="0" fillId="3" borderId="1" xfId="0" applyNumberFormat="1" applyFont="1" applyFill="1" applyBorder="1" applyAlignment="1">
      <alignment horizontal="right" vertical="center"/>
    </xf>
    <xf numFmtId="9" fontId="9" fillId="0" borderId="19" xfId="0" applyNumberFormat="1" applyFont="1" applyFill="1" applyBorder="1" applyAlignment="1">
      <alignment horizontal="right" vertical="center" wrapText="1"/>
    </xf>
    <xf numFmtId="9" fontId="9" fillId="3" borderId="19" xfId="0" applyNumberFormat="1" applyFont="1" applyFill="1" applyBorder="1" applyAlignment="1">
      <alignment horizontal="right" vertical="center" wrapText="1"/>
    </xf>
    <xf numFmtId="1" fontId="2" fillId="0" borderId="12" xfId="0" applyNumberFormat="1" applyFont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 wrapText="1"/>
    </xf>
    <xf numFmtId="9" fontId="2" fillId="0" borderId="12" xfId="0" applyNumberFormat="1" applyFont="1" applyFill="1" applyBorder="1" applyAlignment="1">
      <alignment horizontal="right" vertical="center"/>
    </xf>
    <xf numFmtId="9" fontId="2" fillId="3" borderId="12" xfId="0" applyNumberFormat="1" applyFont="1" applyFill="1" applyBorder="1" applyAlignment="1">
      <alignment horizontal="right" vertical="center"/>
    </xf>
    <xf numFmtId="1" fontId="2" fillId="0" borderId="12" xfId="0" applyNumberFormat="1" applyFont="1" applyFill="1" applyBorder="1" applyAlignment="1">
      <alignment horizontal="right" vertical="center"/>
    </xf>
    <xf numFmtId="9" fontId="6" fillId="0" borderId="12" xfId="0" applyNumberFormat="1" applyFont="1" applyFill="1" applyBorder="1" applyAlignment="1">
      <alignment horizontal="right" vertical="center" wrapText="1"/>
    </xf>
    <xf numFmtId="9" fontId="6" fillId="3" borderId="14" xfId="0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5"/>
  <sheetViews>
    <sheetView workbookViewId="0">
      <selection activeCell="N51" sqref="N51"/>
    </sheetView>
  </sheetViews>
  <sheetFormatPr defaultRowHeight="12.75" x14ac:dyDescent="0.25"/>
  <cols>
    <col min="1" max="1" width="28.28515625" style="94" customWidth="1"/>
    <col min="2" max="2" width="9.28515625" style="73" customWidth="1"/>
    <col min="3" max="3" width="6.7109375" style="73" customWidth="1"/>
    <col min="4" max="4" width="8" style="73" customWidth="1"/>
    <col min="5" max="5" width="6.7109375" style="73" customWidth="1"/>
    <col min="6" max="6" width="9.140625" style="73" customWidth="1"/>
    <col min="7" max="7" width="6.7109375" style="73" customWidth="1"/>
    <col min="8" max="8" width="10.140625" style="73" customWidth="1"/>
    <col min="9" max="9" width="6.7109375" style="73" customWidth="1"/>
    <col min="10" max="10" width="8" style="73" customWidth="1"/>
    <col min="11" max="14" width="9.7109375" style="73" customWidth="1"/>
    <col min="15" max="16384" width="9.140625" style="73"/>
  </cols>
  <sheetData>
    <row r="2" spans="1:14" s="95" customFormat="1" ht="15" x14ac:dyDescent="0.25">
      <c r="A2" s="164" t="s">
        <v>215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s="95" customFormat="1" ht="15" x14ac:dyDescent="0.25">
      <c r="A3" s="164" t="s">
        <v>216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s="95" customFormat="1" ht="15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6" spans="1:14" s="96" customFormat="1" ht="32.25" customHeight="1" x14ac:dyDescent="0.25">
      <c r="A6" s="163" t="s">
        <v>0</v>
      </c>
      <c r="B6" s="163" t="s">
        <v>217</v>
      </c>
      <c r="C6" s="163" t="s">
        <v>218</v>
      </c>
      <c r="D6" s="163"/>
      <c r="E6" s="163"/>
      <c r="F6" s="163"/>
      <c r="G6" s="163"/>
      <c r="H6" s="163"/>
      <c r="I6" s="163"/>
      <c r="J6" s="163"/>
      <c r="K6" s="163" t="s">
        <v>219</v>
      </c>
      <c r="L6" s="163" t="s">
        <v>220</v>
      </c>
      <c r="M6" s="163" t="s">
        <v>221</v>
      </c>
      <c r="N6" s="163" t="s">
        <v>41</v>
      </c>
    </row>
    <row r="7" spans="1:14" s="96" customFormat="1" ht="42" customHeight="1" x14ac:dyDescent="0.25">
      <c r="A7" s="163"/>
      <c r="B7" s="163"/>
      <c r="C7" s="92" t="s">
        <v>222</v>
      </c>
      <c r="D7" s="92" t="s">
        <v>10</v>
      </c>
      <c r="E7" s="92" t="s">
        <v>223</v>
      </c>
      <c r="F7" s="92" t="s">
        <v>10</v>
      </c>
      <c r="G7" s="92" t="s">
        <v>224</v>
      </c>
      <c r="H7" s="92" t="s">
        <v>10</v>
      </c>
      <c r="I7" s="92" t="s">
        <v>225</v>
      </c>
      <c r="J7" s="92" t="s">
        <v>10</v>
      </c>
      <c r="K7" s="163"/>
      <c r="L7" s="163"/>
      <c r="M7" s="163"/>
      <c r="N7" s="163"/>
    </row>
    <row r="9" spans="1:14" s="100" customFormat="1" ht="15.75" customHeight="1" x14ac:dyDescent="0.25">
      <c r="A9" s="99" t="s">
        <v>64</v>
      </c>
      <c r="B9" s="83">
        <f>SUM(B10:B21)</f>
        <v>86</v>
      </c>
      <c r="C9" s="83">
        <f>SUM(C10:C21)</f>
        <v>36</v>
      </c>
      <c r="D9" s="84">
        <f t="shared" ref="D9:D21" si="0">C9/B9</f>
        <v>0.41860465116279072</v>
      </c>
      <c r="E9" s="83">
        <f>SUM(E10:E21)</f>
        <v>26</v>
      </c>
      <c r="F9" s="84">
        <f t="shared" ref="F9:F14" si="1">E9/B9</f>
        <v>0.30232558139534882</v>
      </c>
      <c r="G9" s="83">
        <f>SUM(G10:G21)</f>
        <v>18</v>
      </c>
      <c r="H9" s="84">
        <f t="shared" ref="H9:H16" si="2">G9/B9</f>
        <v>0.20930232558139536</v>
      </c>
      <c r="I9" s="83">
        <f>SUM(I10:I21)</f>
        <v>6</v>
      </c>
      <c r="J9" s="84">
        <f>I9/B9</f>
        <v>6.9767441860465115E-2</v>
      </c>
      <c r="K9" s="84">
        <f t="shared" ref="K9:K21" si="3">(G9+I9)/B9</f>
        <v>0.27906976744186046</v>
      </c>
      <c r="L9" s="84">
        <f t="shared" ref="L9:L21" si="4">(E9+G9+I9)/B9</f>
        <v>0.58139534883720934</v>
      </c>
      <c r="M9" s="85">
        <f t="shared" ref="M9:M21" si="5">((E9*3)+(G9*4)+(I9*5)+(C9*2))/B9</f>
        <v>2.9302325581395348</v>
      </c>
      <c r="N9" s="91">
        <f>3552/B9</f>
        <v>41.302325581395351</v>
      </c>
    </row>
    <row r="10" spans="1:14" s="82" customFormat="1" ht="15" customHeight="1" x14ac:dyDescent="0.25">
      <c r="A10" s="76" t="s">
        <v>88</v>
      </c>
      <c r="B10" s="77">
        <v>7</v>
      </c>
      <c r="C10" s="78">
        <v>3</v>
      </c>
      <c r="D10" s="79">
        <f t="shared" si="0"/>
        <v>0.42857142857142855</v>
      </c>
      <c r="E10" s="78">
        <v>3</v>
      </c>
      <c r="F10" s="79">
        <f t="shared" si="1"/>
        <v>0.42857142857142855</v>
      </c>
      <c r="G10" s="78">
        <v>1</v>
      </c>
      <c r="H10" s="79">
        <f t="shared" si="2"/>
        <v>0.14285714285714285</v>
      </c>
      <c r="I10" s="78"/>
      <c r="J10" s="79"/>
      <c r="K10" s="79">
        <f t="shared" si="3"/>
        <v>0.14285714285714285</v>
      </c>
      <c r="L10" s="79">
        <f t="shared" si="4"/>
        <v>0.5714285714285714</v>
      </c>
      <c r="M10" s="80">
        <f t="shared" si="5"/>
        <v>2.7142857142857144</v>
      </c>
      <c r="N10" s="90">
        <f>231/B10</f>
        <v>33</v>
      </c>
    </row>
    <row r="11" spans="1:14" s="82" customFormat="1" ht="15" customHeight="1" x14ac:dyDescent="0.25">
      <c r="A11" s="76" t="s">
        <v>97</v>
      </c>
      <c r="B11" s="77">
        <v>7</v>
      </c>
      <c r="C11" s="78">
        <v>2</v>
      </c>
      <c r="D11" s="79">
        <f t="shared" si="0"/>
        <v>0.2857142857142857</v>
      </c>
      <c r="E11" s="78">
        <v>1</v>
      </c>
      <c r="F11" s="79">
        <f t="shared" si="1"/>
        <v>0.14285714285714285</v>
      </c>
      <c r="G11" s="78">
        <v>3</v>
      </c>
      <c r="H11" s="79">
        <f t="shared" si="2"/>
        <v>0.42857142857142855</v>
      </c>
      <c r="I11" s="78">
        <v>1</v>
      </c>
      <c r="J11" s="79">
        <f>I11/B11</f>
        <v>0.14285714285714285</v>
      </c>
      <c r="K11" s="79">
        <f t="shared" si="3"/>
        <v>0.5714285714285714</v>
      </c>
      <c r="L11" s="79">
        <f t="shared" si="4"/>
        <v>0.7142857142857143</v>
      </c>
      <c r="M11" s="80">
        <f t="shared" si="5"/>
        <v>3.4285714285714284</v>
      </c>
      <c r="N11" s="90">
        <f>353/B11</f>
        <v>50.428571428571431</v>
      </c>
    </row>
    <row r="12" spans="1:14" s="82" customFormat="1" ht="15" customHeight="1" x14ac:dyDescent="0.25">
      <c r="A12" s="76" t="s">
        <v>107</v>
      </c>
      <c r="B12" s="77">
        <v>13</v>
      </c>
      <c r="C12" s="78">
        <v>2</v>
      </c>
      <c r="D12" s="79">
        <f t="shared" si="0"/>
        <v>0.15384615384615385</v>
      </c>
      <c r="E12" s="78">
        <v>6</v>
      </c>
      <c r="F12" s="79">
        <f t="shared" si="1"/>
        <v>0.46153846153846156</v>
      </c>
      <c r="G12" s="78">
        <v>5</v>
      </c>
      <c r="H12" s="79">
        <f t="shared" si="2"/>
        <v>0.38461538461538464</v>
      </c>
      <c r="I12" s="78"/>
      <c r="J12" s="79"/>
      <c r="K12" s="79">
        <f t="shared" si="3"/>
        <v>0.38461538461538464</v>
      </c>
      <c r="L12" s="79">
        <f t="shared" si="4"/>
        <v>0.84615384615384615</v>
      </c>
      <c r="M12" s="80">
        <f t="shared" si="5"/>
        <v>3.2307692307692308</v>
      </c>
      <c r="N12" s="90">
        <f>641/B12</f>
        <v>49.307692307692307</v>
      </c>
    </row>
    <row r="13" spans="1:14" s="82" customFormat="1" ht="15" customHeight="1" x14ac:dyDescent="0.25">
      <c r="A13" s="76" t="s">
        <v>129</v>
      </c>
      <c r="B13" s="77">
        <v>13</v>
      </c>
      <c r="C13" s="78">
        <v>7</v>
      </c>
      <c r="D13" s="79">
        <f t="shared" si="0"/>
        <v>0.53846153846153844</v>
      </c>
      <c r="E13" s="78">
        <v>3</v>
      </c>
      <c r="F13" s="79">
        <f t="shared" si="1"/>
        <v>0.23076923076923078</v>
      </c>
      <c r="G13" s="78">
        <v>1</v>
      </c>
      <c r="H13" s="79">
        <f t="shared" si="2"/>
        <v>7.6923076923076927E-2</v>
      </c>
      <c r="I13" s="78">
        <v>2</v>
      </c>
      <c r="J13" s="79">
        <f>I13/B13</f>
        <v>0.15384615384615385</v>
      </c>
      <c r="K13" s="79">
        <f t="shared" si="3"/>
        <v>0.23076923076923078</v>
      </c>
      <c r="L13" s="79">
        <f t="shared" si="4"/>
        <v>0.46153846153846156</v>
      </c>
      <c r="M13" s="80">
        <f t="shared" si="5"/>
        <v>2.8461538461538463</v>
      </c>
      <c r="N13" s="90">
        <f>565/B13</f>
        <v>43.46153846153846</v>
      </c>
    </row>
    <row r="14" spans="1:14" s="82" customFormat="1" ht="15" customHeight="1" x14ac:dyDescent="0.25">
      <c r="A14" s="76" t="s">
        <v>133</v>
      </c>
      <c r="B14" s="77">
        <v>7</v>
      </c>
      <c r="C14" s="78">
        <v>5</v>
      </c>
      <c r="D14" s="79">
        <f t="shared" si="0"/>
        <v>0.7142857142857143</v>
      </c>
      <c r="E14" s="78">
        <v>1</v>
      </c>
      <c r="F14" s="79">
        <f t="shared" si="1"/>
        <v>0.14285714285714285</v>
      </c>
      <c r="G14" s="78">
        <v>1</v>
      </c>
      <c r="H14" s="79">
        <f t="shared" si="2"/>
        <v>0.14285714285714285</v>
      </c>
      <c r="I14" s="78"/>
      <c r="J14" s="79"/>
      <c r="K14" s="79">
        <f t="shared" si="3"/>
        <v>0.14285714285714285</v>
      </c>
      <c r="L14" s="79">
        <f t="shared" si="4"/>
        <v>0.2857142857142857</v>
      </c>
      <c r="M14" s="80">
        <f t="shared" si="5"/>
        <v>2.4285714285714284</v>
      </c>
      <c r="N14" s="90">
        <f>208/B14</f>
        <v>29.714285714285715</v>
      </c>
    </row>
    <row r="15" spans="1:14" s="82" customFormat="1" ht="15" customHeight="1" x14ac:dyDescent="0.25">
      <c r="A15" s="76" t="s">
        <v>140</v>
      </c>
      <c r="B15" s="77">
        <v>6</v>
      </c>
      <c r="C15" s="78">
        <v>5</v>
      </c>
      <c r="D15" s="79">
        <f t="shared" si="0"/>
        <v>0.83333333333333337</v>
      </c>
      <c r="E15" s="78"/>
      <c r="F15" s="79"/>
      <c r="G15" s="78">
        <v>1</v>
      </c>
      <c r="H15" s="79">
        <f t="shared" si="2"/>
        <v>0.16666666666666666</v>
      </c>
      <c r="I15" s="78"/>
      <c r="J15" s="79"/>
      <c r="K15" s="79">
        <f t="shared" si="3"/>
        <v>0.16666666666666666</v>
      </c>
      <c r="L15" s="79">
        <f t="shared" si="4"/>
        <v>0.16666666666666666</v>
      </c>
      <c r="M15" s="80">
        <f t="shared" si="5"/>
        <v>2.3333333333333335</v>
      </c>
      <c r="N15" s="90">
        <f>121/B15</f>
        <v>20.166666666666668</v>
      </c>
    </row>
    <row r="16" spans="1:14" s="82" customFormat="1" ht="15" customHeight="1" x14ac:dyDescent="0.25">
      <c r="A16" s="76" t="s">
        <v>227</v>
      </c>
      <c r="B16" s="77">
        <v>6</v>
      </c>
      <c r="C16" s="78">
        <v>2</v>
      </c>
      <c r="D16" s="79">
        <f t="shared" si="0"/>
        <v>0.33333333333333331</v>
      </c>
      <c r="E16" s="78">
        <v>2</v>
      </c>
      <c r="F16" s="79">
        <f>E16/B16</f>
        <v>0.33333333333333331</v>
      </c>
      <c r="G16" s="78">
        <v>1</v>
      </c>
      <c r="H16" s="79">
        <f t="shared" si="2"/>
        <v>0.16666666666666666</v>
      </c>
      <c r="I16" s="78">
        <v>1</v>
      </c>
      <c r="J16" s="79">
        <f>I16/B16</f>
        <v>0.16666666666666666</v>
      </c>
      <c r="K16" s="79">
        <f t="shared" si="3"/>
        <v>0.33333333333333331</v>
      </c>
      <c r="L16" s="79">
        <f t="shared" si="4"/>
        <v>0.66666666666666663</v>
      </c>
      <c r="M16" s="80">
        <f t="shared" si="5"/>
        <v>3.1666666666666665</v>
      </c>
      <c r="N16" s="90">
        <f>293/B16</f>
        <v>48.833333333333336</v>
      </c>
    </row>
    <row r="17" spans="1:14" s="82" customFormat="1" ht="15" customHeight="1" x14ac:dyDescent="0.25">
      <c r="A17" s="76" t="s">
        <v>146</v>
      </c>
      <c r="B17" s="77">
        <v>2</v>
      </c>
      <c r="C17" s="78">
        <v>2</v>
      </c>
      <c r="D17" s="79">
        <f t="shared" si="0"/>
        <v>1</v>
      </c>
      <c r="E17" s="78"/>
      <c r="F17" s="79"/>
      <c r="G17" s="78"/>
      <c r="H17" s="79"/>
      <c r="I17" s="78"/>
      <c r="J17" s="79"/>
      <c r="K17" s="79">
        <f t="shared" si="3"/>
        <v>0</v>
      </c>
      <c r="L17" s="79">
        <f t="shared" si="4"/>
        <v>0</v>
      </c>
      <c r="M17" s="80">
        <f t="shared" si="5"/>
        <v>2</v>
      </c>
      <c r="N17" s="90">
        <f>42/B17</f>
        <v>21</v>
      </c>
    </row>
    <row r="18" spans="1:14" s="82" customFormat="1" ht="15" customHeight="1" x14ac:dyDescent="0.25">
      <c r="A18" s="76" t="s">
        <v>152</v>
      </c>
      <c r="B18" s="77">
        <v>5</v>
      </c>
      <c r="C18" s="78">
        <v>1</v>
      </c>
      <c r="D18" s="79">
        <f t="shared" si="0"/>
        <v>0.2</v>
      </c>
      <c r="E18" s="78">
        <v>2</v>
      </c>
      <c r="F18" s="79">
        <f>E18/B18</f>
        <v>0.4</v>
      </c>
      <c r="G18" s="78">
        <v>1</v>
      </c>
      <c r="H18" s="79">
        <f>G18/B18</f>
        <v>0.2</v>
      </c>
      <c r="I18" s="78">
        <v>1</v>
      </c>
      <c r="J18" s="79">
        <f>I18/B18</f>
        <v>0.2</v>
      </c>
      <c r="K18" s="79">
        <f t="shared" si="3"/>
        <v>0.4</v>
      </c>
      <c r="L18" s="79">
        <f t="shared" si="4"/>
        <v>0.8</v>
      </c>
      <c r="M18" s="80">
        <f t="shared" si="5"/>
        <v>3.4</v>
      </c>
      <c r="N18" s="90">
        <f>274/B18</f>
        <v>54.8</v>
      </c>
    </row>
    <row r="19" spans="1:14" s="82" customFormat="1" ht="15" customHeight="1" x14ac:dyDescent="0.25">
      <c r="A19" s="76" t="s">
        <v>229</v>
      </c>
      <c r="B19" s="77">
        <v>6</v>
      </c>
      <c r="C19" s="78">
        <v>2</v>
      </c>
      <c r="D19" s="79">
        <f t="shared" si="0"/>
        <v>0.33333333333333331</v>
      </c>
      <c r="E19" s="78">
        <v>3</v>
      </c>
      <c r="F19" s="79">
        <f>E19/B19</f>
        <v>0.5</v>
      </c>
      <c r="G19" s="78">
        <v>1</v>
      </c>
      <c r="H19" s="79">
        <f>G19/B19</f>
        <v>0.16666666666666666</v>
      </c>
      <c r="I19" s="78"/>
      <c r="J19" s="79"/>
      <c r="K19" s="79">
        <f t="shared" si="3"/>
        <v>0.16666666666666666</v>
      </c>
      <c r="L19" s="79">
        <f t="shared" si="4"/>
        <v>0.66666666666666663</v>
      </c>
      <c r="M19" s="80">
        <f t="shared" si="5"/>
        <v>2.8333333333333335</v>
      </c>
      <c r="N19" s="90">
        <f>203/B19</f>
        <v>33.833333333333336</v>
      </c>
    </row>
    <row r="20" spans="1:14" s="82" customFormat="1" ht="15" customHeight="1" x14ac:dyDescent="0.25">
      <c r="A20" s="76" t="s">
        <v>165</v>
      </c>
      <c r="B20" s="77">
        <v>4</v>
      </c>
      <c r="C20" s="78">
        <v>1</v>
      </c>
      <c r="D20" s="79">
        <f t="shared" si="0"/>
        <v>0.25</v>
      </c>
      <c r="E20" s="78">
        <v>2</v>
      </c>
      <c r="F20" s="79">
        <f>E20/B20</f>
        <v>0.5</v>
      </c>
      <c r="G20" s="78">
        <v>1</v>
      </c>
      <c r="H20" s="79">
        <f>G20/B20</f>
        <v>0.25</v>
      </c>
      <c r="I20" s="78"/>
      <c r="J20" s="79"/>
      <c r="K20" s="79">
        <f t="shared" si="3"/>
        <v>0.25</v>
      </c>
      <c r="L20" s="79">
        <f t="shared" si="4"/>
        <v>0.75</v>
      </c>
      <c r="M20" s="80">
        <f t="shared" si="5"/>
        <v>3</v>
      </c>
      <c r="N20" s="90">
        <f>180/B20</f>
        <v>45</v>
      </c>
    </row>
    <row r="21" spans="1:14" s="82" customFormat="1" ht="15" customHeight="1" x14ac:dyDescent="0.25">
      <c r="A21" s="76" t="s">
        <v>186</v>
      </c>
      <c r="B21" s="77">
        <v>10</v>
      </c>
      <c r="C21" s="78">
        <v>4</v>
      </c>
      <c r="D21" s="79">
        <f t="shared" si="0"/>
        <v>0.4</v>
      </c>
      <c r="E21" s="78">
        <v>3</v>
      </c>
      <c r="F21" s="79">
        <f>E21/B21</f>
        <v>0.3</v>
      </c>
      <c r="G21" s="78">
        <v>2</v>
      </c>
      <c r="H21" s="79">
        <f>G21/B21</f>
        <v>0.2</v>
      </c>
      <c r="I21" s="78">
        <v>1</v>
      </c>
      <c r="J21" s="79">
        <f>I21/B21</f>
        <v>0.1</v>
      </c>
      <c r="K21" s="79">
        <f t="shared" si="3"/>
        <v>0.3</v>
      </c>
      <c r="L21" s="79">
        <f t="shared" si="4"/>
        <v>0.6</v>
      </c>
      <c r="M21" s="80">
        <f t="shared" si="5"/>
        <v>3</v>
      </c>
      <c r="N21" s="90">
        <f>441/B21</f>
        <v>44.1</v>
      </c>
    </row>
    <row r="23" spans="1:14" s="87" customFormat="1" ht="15.75" customHeight="1" x14ac:dyDescent="0.25">
      <c r="A23" s="74" t="s">
        <v>228</v>
      </c>
      <c r="B23" s="66">
        <f>SUM(B24:B34)</f>
        <v>72</v>
      </c>
      <c r="C23" s="66">
        <f>SUM(C24:C34)</f>
        <v>4</v>
      </c>
      <c r="D23" s="58">
        <f>C23/B23</f>
        <v>5.5555555555555552E-2</v>
      </c>
      <c r="E23" s="66">
        <f>SUM(E24:E34)</f>
        <v>25</v>
      </c>
      <c r="F23" s="58">
        <f t="shared" ref="F23:F30" si="6">E23/B23</f>
        <v>0.34722222222222221</v>
      </c>
      <c r="G23" s="66">
        <f>SUM(G24:G34)</f>
        <v>37</v>
      </c>
      <c r="H23" s="58">
        <f t="shared" ref="H23:H34" si="7">G23/B23</f>
        <v>0.51388888888888884</v>
      </c>
      <c r="I23" s="66">
        <f>SUM(I24:I34)</f>
        <v>6</v>
      </c>
      <c r="J23" s="58">
        <f>I23/B23</f>
        <v>8.3333333333333329E-2</v>
      </c>
      <c r="K23" s="58">
        <f t="shared" ref="K23:K34" si="8">(G23+I23)/B23</f>
        <v>0.59722222222222221</v>
      </c>
      <c r="L23" s="58">
        <f t="shared" ref="L23:L34" si="9">(E23+G23+I23)/B23</f>
        <v>0.94444444444444442</v>
      </c>
      <c r="M23" s="59">
        <f t="shared" ref="M23:M34" si="10">((E23*3)+(G23*4)+(I23*5)+(C23*2))/B23</f>
        <v>3.625</v>
      </c>
      <c r="N23" s="88"/>
    </row>
    <row r="24" spans="1:14" s="110" customFormat="1" ht="15.75" customHeight="1" x14ac:dyDescent="0.25">
      <c r="A24" s="65" t="s">
        <v>88</v>
      </c>
      <c r="B24" s="67">
        <v>7</v>
      </c>
      <c r="C24" s="68">
        <v>1</v>
      </c>
      <c r="D24" s="62">
        <f>C24/B24</f>
        <v>0.14285714285714285</v>
      </c>
      <c r="E24" s="68">
        <v>4</v>
      </c>
      <c r="F24" s="69">
        <f t="shared" si="6"/>
        <v>0.5714285714285714</v>
      </c>
      <c r="G24" s="68">
        <v>2</v>
      </c>
      <c r="H24" s="62">
        <f t="shared" si="7"/>
        <v>0.2857142857142857</v>
      </c>
      <c r="I24" s="68"/>
      <c r="J24" s="69"/>
      <c r="K24" s="62">
        <f t="shared" si="8"/>
        <v>0.2857142857142857</v>
      </c>
      <c r="L24" s="62">
        <f t="shared" si="9"/>
        <v>0.8571428571428571</v>
      </c>
      <c r="M24" s="63">
        <f t="shared" si="10"/>
        <v>3.1428571428571428</v>
      </c>
      <c r="N24" s="109"/>
    </row>
    <row r="25" spans="1:14" s="87" customFormat="1" ht="15.75" customHeight="1" x14ac:dyDescent="0.25">
      <c r="A25" s="65" t="s">
        <v>97</v>
      </c>
      <c r="B25" s="67">
        <v>4</v>
      </c>
      <c r="C25" s="68"/>
      <c r="D25" s="62"/>
      <c r="E25" s="68">
        <v>1</v>
      </c>
      <c r="F25" s="69">
        <f t="shared" si="6"/>
        <v>0.25</v>
      </c>
      <c r="G25" s="68">
        <v>3</v>
      </c>
      <c r="H25" s="62">
        <f t="shared" si="7"/>
        <v>0.75</v>
      </c>
      <c r="I25" s="68"/>
      <c r="J25" s="69"/>
      <c r="K25" s="69">
        <f t="shared" si="8"/>
        <v>0.75</v>
      </c>
      <c r="L25" s="69">
        <f t="shared" si="9"/>
        <v>1</v>
      </c>
      <c r="M25" s="63">
        <f t="shared" si="10"/>
        <v>3.75</v>
      </c>
      <c r="N25" s="109"/>
    </row>
    <row r="26" spans="1:14" s="87" customFormat="1" ht="15.75" customHeight="1" x14ac:dyDescent="0.25">
      <c r="A26" s="65" t="s">
        <v>107</v>
      </c>
      <c r="B26" s="67">
        <v>12</v>
      </c>
      <c r="C26" s="68"/>
      <c r="D26" s="69"/>
      <c r="E26" s="68">
        <v>3</v>
      </c>
      <c r="F26" s="69">
        <f t="shared" si="6"/>
        <v>0.25</v>
      </c>
      <c r="G26" s="68">
        <v>8</v>
      </c>
      <c r="H26" s="69">
        <f t="shared" si="7"/>
        <v>0.66666666666666663</v>
      </c>
      <c r="I26" s="68">
        <v>1</v>
      </c>
      <c r="J26" s="62">
        <f>I26/B26</f>
        <v>8.3333333333333329E-2</v>
      </c>
      <c r="K26" s="69">
        <f t="shared" si="8"/>
        <v>0.75</v>
      </c>
      <c r="L26" s="69">
        <f t="shared" si="9"/>
        <v>1</v>
      </c>
      <c r="M26" s="63">
        <f t="shared" si="10"/>
        <v>3.8333333333333335</v>
      </c>
      <c r="N26" s="109"/>
    </row>
    <row r="27" spans="1:14" s="87" customFormat="1" ht="15.75" customHeight="1" x14ac:dyDescent="0.25">
      <c r="A27" s="65" t="s">
        <v>129</v>
      </c>
      <c r="B27" s="67">
        <v>12</v>
      </c>
      <c r="C27" s="68"/>
      <c r="D27" s="69"/>
      <c r="E27" s="68">
        <v>4</v>
      </c>
      <c r="F27" s="69">
        <f t="shared" si="6"/>
        <v>0.33333333333333331</v>
      </c>
      <c r="G27" s="68">
        <v>7</v>
      </c>
      <c r="H27" s="69">
        <f t="shared" si="7"/>
        <v>0.58333333333333337</v>
      </c>
      <c r="I27" s="68">
        <v>1</v>
      </c>
      <c r="J27" s="62">
        <f>I27/B27</f>
        <v>8.3333333333333329E-2</v>
      </c>
      <c r="K27" s="69">
        <f t="shared" si="8"/>
        <v>0.66666666666666663</v>
      </c>
      <c r="L27" s="69">
        <f t="shared" si="9"/>
        <v>1</v>
      </c>
      <c r="M27" s="70">
        <f t="shared" si="10"/>
        <v>3.75</v>
      </c>
      <c r="N27" s="109"/>
    </row>
    <row r="28" spans="1:14" s="87" customFormat="1" ht="15.75" customHeight="1" x14ac:dyDescent="0.25">
      <c r="A28" s="65" t="s">
        <v>133</v>
      </c>
      <c r="B28" s="67">
        <v>4</v>
      </c>
      <c r="C28" s="68"/>
      <c r="D28" s="69"/>
      <c r="E28" s="68">
        <v>3</v>
      </c>
      <c r="F28" s="69">
        <f t="shared" si="6"/>
        <v>0.75</v>
      </c>
      <c r="G28" s="68">
        <v>1</v>
      </c>
      <c r="H28" s="69">
        <f t="shared" si="7"/>
        <v>0.25</v>
      </c>
      <c r="I28" s="68"/>
      <c r="J28" s="69"/>
      <c r="K28" s="69">
        <f t="shared" si="8"/>
        <v>0.25</v>
      </c>
      <c r="L28" s="69">
        <f t="shared" si="9"/>
        <v>1</v>
      </c>
      <c r="M28" s="70">
        <f t="shared" si="10"/>
        <v>3.25</v>
      </c>
      <c r="N28" s="109"/>
    </row>
    <row r="29" spans="1:14" s="87" customFormat="1" ht="15.75" customHeight="1" x14ac:dyDescent="0.25">
      <c r="A29" s="65" t="s">
        <v>140</v>
      </c>
      <c r="B29" s="67">
        <v>7</v>
      </c>
      <c r="C29" s="68">
        <v>2</v>
      </c>
      <c r="D29" s="62">
        <f>C29/B29</f>
        <v>0.2857142857142857</v>
      </c>
      <c r="E29" s="68">
        <v>4</v>
      </c>
      <c r="F29" s="69">
        <f t="shared" si="6"/>
        <v>0.5714285714285714</v>
      </c>
      <c r="G29" s="68">
        <v>1</v>
      </c>
      <c r="H29" s="69">
        <f t="shared" si="7"/>
        <v>0.14285714285714285</v>
      </c>
      <c r="I29" s="68"/>
      <c r="J29" s="69"/>
      <c r="K29" s="69">
        <f t="shared" si="8"/>
        <v>0.14285714285714285</v>
      </c>
      <c r="L29" s="69">
        <f t="shared" si="9"/>
        <v>0.7142857142857143</v>
      </c>
      <c r="M29" s="70">
        <f t="shared" si="10"/>
        <v>2.8571428571428572</v>
      </c>
      <c r="N29" s="109"/>
    </row>
    <row r="30" spans="1:14" s="87" customFormat="1" ht="15.75" customHeight="1" x14ac:dyDescent="0.25">
      <c r="A30" s="71" t="s">
        <v>227</v>
      </c>
      <c r="B30" s="67">
        <v>4</v>
      </c>
      <c r="C30" s="68"/>
      <c r="D30" s="69"/>
      <c r="E30" s="68">
        <v>1</v>
      </c>
      <c r="F30" s="69">
        <f t="shared" si="6"/>
        <v>0.25</v>
      </c>
      <c r="G30" s="68">
        <v>3</v>
      </c>
      <c r="H30" s="69">
        <f t="shared" si="7"/>
        <v>0.75</v>
      </c>
      <c r="I30" s="68"/>
      <c r="J30" s="69"/>
      <c r="K30" s="69">
        <f t="shared" si="8"/>
        <v>0.75</v>
      </c>
      <c r="L30" s="69">
        <f t="shared" si="9"/>
        <v>1</v>
      </c>
      <c r="M30" s="70">
        <f t="shared" si="10"/>
        <v>3.75</v>
      </c>
      <c r="N30" s="109"/>
    </row>
    <row r="31" spans="1:14" s="87" customFormat="1" ht="15.75" customHeight="1" x14ac:dyDescent="0.25">
      <c r="A31" s="65" t="s">
        <v>152</v>
      </c>
      <c r="B31" s="67">
        <v>4</v>
      </c>
      <c r="C31" s="68"/>
      <c r="D31" s="69"/>
      <c r="E31" s="68"/>
      <c r="F31" s="69"/>
      <c r="G31" s="68">
        <v>4</v>
      </c>
      <c r="H31" s="69">
        <f t="shared" si="7"/>
        <v>1</v>
      </c>
      <c r="I31" s="68"/>
      <c r="J31" s="69"/>
      <c r="K31" s="69">
        <f t="shared" si="8"/>
        <v>1</v>
      </c>
      <c r="L31" s="69">
        <f t="shared" si="9"/>
        <v>1</v>
      </c>
      <c r="M31" s="70">
        <f t="shared" si="10"/>
        <v>4</v>
      </c>
      <c r="N31" s="109"/>
    </row>
    <row r="32" spans="1:14" s="87" customFormat="1" ht="15.75" customHeight="1" x14ac:dyDescent="0.25">
      <c r="A32" s="65" t="s">
        <v>229</v>
      </c>
      <c r="B32" s="67">
        <v>6</v>
      </c>
      <c r="C32" s="68"/>
      <c r="D32" s="69"/>
      <c r="E32" s="68">
        <v>3</v>
      </c>
      <c r="F32" s="69">
        <f>E32/B32</f>
        <v>0.5</v>
      </c>
      <c r="G32" s="68">
        <v>2</v>
      </c>
      <c r="H32" s="69">
        <f t="shared" si="7"/>
        <v>0.33333333333333331</v>
      </c>
      <c r="I32" s="68">
        <v>1</v>
      </c>
      <c r="J32" s="62">
        <f>I32/B32</f>
        <v>0.16666666666666666</v>
      </c>
      <c r="K32" s="69">
        <f t="shared" si="8"/>
        <v>0.5</v>
      </c>
      <c r="L32" s="69">
        <f t="shared" si="9"/>
        <v>1</v>
      </c>
      <c r="M32" s="70">
        <f t="shared" si="10"/>
        <v>3.6666666666666665</v>
      </c>
      <c r="N32" s="109"/>
    </row>
    <row r="33" spans="1:14" s="87" customFormat="1" ht="15.75" customHeight="1" x14ac:dyDescent="0.25">
      <c r="A33" s="65" t="s">
        <v>165</v>
      </c>
      <c r="B33" s="67">
        <v>4</v>
      </c>
      <c r="C33" s="68"/>
      <c r="D33" s="69"/>
      <c r="E33" s="68"/>
      <c r="F33" s="69"/>
      <c r="G33" s="68">
        <v>3</v>
      </c>
      <c r="H33" s="69">
        <f t="shared" si="7"/>
        <v>0.75</v>
      </c>
      <c r="I33" s="68">
        <v>1</v>
      </c>
      <c r="J33" s="62">
        <f>I33/B33</f>
        <v>0.25</v>
      </c>
      <c r="K33" s="69">
        <f t="shared" si="8"/>
        <v>1</v>
      </c>
      <c r="L33" s="69">
        <f t="shared" si="9"/>
        <v>1</v>
      </c>
      <c r="M33" s="70">
        <f t="shared" si="10"/>
        <v>4.25</v>
      </c>
      <c r="N33" s="109"/>
    </row>
    <row r="34" spans="1:14" s="87" customFormat="1" ht="15.75" customHeight="1" x14ac:dyDescent="0.25">
      <c r="A34" s="65" t="s">
        <v>186</v>
      </c>
      <c r="B34" s="67">
        <v>8</v>
      </c>
      <c r="C34" s="68">
        <v>1</v>
      </c>
      <c r="D34" s="62">
        <f>C34/B34</f>
        <v>0.125</v>
      </c>
      <c r="E34" s="68">
        <v>2</v>
      </c>
      <c r="F34" s="69">
        <f>E34/B34</f>
        <v>0.25</v>
      </c>
      <c r="G34" s="68">
        <v>3</v>
      </c>
      <c r="H34" s="69">
        <f t="shared" si="7"/>
        <v>0.375</v>
      </c>
      <c r="I34" s="68">
        <v>2</v>
      </c>
      <c r="J34" s="62">
        <f>I34/B34</f>
        <v>0.25</v>
      </c>
      <c r="K34" s="69">
        <f t="shared" si="8"/>
        <v>0.625</v>
      </c>
      <c r="L34" s="69">
        <f t="shared" si="9"/>
        <v>0.875</v>
      </c>
      <c r="M34" s="70">
        <f t="shared" si="10"/>
        <v>3.75</v>
      </c>
      <c r="N34" s="109"/>
    </row>
    <row r="35" spans="1:14" s="87" customFormat="1" ht="15.75" customHeight="1" x14ac:dyDescent="0.25">
      <c r="A35" s="65"/>
      <c r="B35" s="67"/>
      <c r="C35" s="68"/>
      <c r="D35" s="62"/>
      <c r="E35" s="68"/>
      <c r="F35" s="69"/>
      <c r="G35" s="68"/>
      <c r="H35" s="69"/>
      <c r="I35" s="68"/>
      <c r="J35" s="62"/>
      <c r="K35" s="69"/>
      <c r="L35" s="69"/>
      <c r="M35" s="70"/>
      <c r="N35" s="109"/>
    </row>
    <row r="36" spans="1:14" s="87" customFormat="1" ht="15.75" customHeight="1" x14ac:dyDescent="0.25">
      <c r="A36" s="74" t="s">
        <v>230</v>
      </c>
      <c r="B36" s="66">
        <f>SUM(B37:B44)</f>
        <v>14</v>
      </c>
      <c r="C36" s="66">
        <f>SUM(C37:C44)</f>
        <v>1</v>
      </c>
      <c r="D36" s="58">
        <f>C36/B36</f>
        <v>7.1428571428571425E-2</v>
      </c>
      <c r="E36" s="66">
        <f>SUM(E37:E44)</f>
        <v>3</v>
      </c>
      <c r="F36" s="58">
        <f>E36/B36</f>
        <v>0.21428571428571427</v>
      </c>
      <c r="G36" s="66">
        <f>SUM(G37:G44)</f>
        <v>9</v>
      </c>
      <c r="H36" s="58">
        <f t="shared" ref="H36:H42" si="11">G36/B36</f>
        <v>0.6428571428571429</v>
      </c>
      <c r="I36" s="66">
        <f>SUM(I37:I44)</f>
        <v>1</v>
      </c>
      <c r="J36" s="58">
        <f>I36/B36</f>
        <v>7.1428571428571425E-2</v>
      </c>
      <c r="K36" s="58">
        <f t="shared" ref="K36:K44" si="12">(G36+I36)/B36</f>
        <v>0.7142857142857143</v>
      </c>
      <c r="L36" s="58">
        <f t="shared" ref="L36:L44" si="13">(E36+G36+I36)/B36</f>
        <v>0.9285714285714286</v>
      </c>
      <c r="M36" s="59">
        <f t="shared" ref="M36:M44" si="14">((E36*3)+(G36*4)+(I36*5)+(C36*2))/B36</f>
        <v>3.7142857142857144</v>
      </c>
      <c r="N36" s="88">
        <f>687/B36</f>
        <v>49.071428571428569</v>
      </c>
    </row>
    <row r="37" spans="1:14" ht="15" customHeight="1" x14ac:dyDescent="0.25">
      <c r="A37" s="65" t="s">
        <v>97</v>
      </c>
      <c r="B37" s="72">
        <v>3</v>
      </c>
      <c r="C37" s="61"/>
      <c r="D37" s="62"/>
      <c r="E37" s="61">
        <v>1</v>
      </c>
      <c r="F37" s="62">
        <f>E37/B37</f>
        <v>0.33333333333333331</v>
      </c>
      <c r="G37" s="61">
        <v>1</v>
      </c>
      <c r="H37" s="62">
        <f t="shared" si="11"/>
        <v>0.33333333333333331</v>
      </c>
      <c r="I37" s="61">
        <v>1</v>
      </c>
      <c r="J37" s="62">
        <f>I37/B37</f>
        <v>0.33333333333333331</v>
      </c>
      <c r="K37" s="62">
        <f t="shared" si="12"/>
        <v>0.66666666666666663</v>
      </c>
      <c r="L37" s="62">
        <f t="shared" si="13"/>
        <v>1</v>
      </c>
      <c r="M37" s="63">
        <f t="shared" si="14"/>
        <v>4</v>
      </c>
      <c r="N37" s="89">
        <f>177/B37</f>
        <v>59</v>
      </c>
    </row>
    <row r="38" spans="1:14" ht="15" customHeight="1" x14ac:dyDescent="0.25">
      <c r="A38" s="65" t="s">
        <v>107</v>
      </c>
      <c r="B38" s="72">
        <v>1</v>
      </c>
      <c r="C38" s="61"/>
      <c r="D38" s="62"/>
      <c r="E38" s="61"/>
      <c r="F38" s="62"/>
      <c r="G38" s="61">
        <v>1</v>
      </c>
      <c r="H38" s="62">
        <f t="shared" si="11"/>
        <v>1</v>
      </c>
      <c r="I38" s="61"/>
      <c r="J38" s="62"/>
      <c r="K38" s="62">
        <f t="shared" si="12"/>
        <v>1</v>
      </c>
      <c r="L38" s="62">
        <f t="shared" si="13"/>
        <v>1</v>
      </c>
      <c r="M38" s="63">
        <f t="shared" si="14"/>
        <v>4</v>
      </c>
      <c r="N38" s="89">
        <f>50/B38</f>
        <v>50</v>
      </c>
    </row>
    <row r="39" spans="1:14" ht="15" customHeight="1" x14ac:dyDescent="0.25">
      <c r="A39" s="65" t="s">
        <v>129</v>
      </c>
      <c r="B39" s="72">
        <v>1</v>
      </c>
      <c r="C39" s="61"/>
      <c r="D39" s="62"/>
      <c r="E39" s="61"/>
      <c r="F39" s="62"/>
      <c r="G39" s="61">
        <v>1</v>
      </c>
      <c r="H39" s="62">
        <f t="shared" si="11"/>
        <v>1</v>
      </c>
      <c r="I39" s="61"/>
      <c r="J39" s="62"/>
      <c r="K39" s="62">
        <f t="shared" si="12"/>
        <v>1</v>
      </c>
      <c r="L39" s="62">
        <f t="shared" si="13"/>
        <v>1</v>
      </c>
      <c r="M39" s="63">
        <f t="shared" si="14"/>
        <v>4</v>
      </c>
      <c r="N39" s="89">
        <f>62/B39</f>
        <v>62</v>
      </c>
    </row>
    <row r="40" spans="1:14" ht="15" customHeight="1" x14ac:dyDescent="0.25">
      <c r="A40" s="65" t="s">
        <v>133</v>
      </c>
      <c r="B40" s="72">
        <v>3</v>
      </c>
      <c r="C40" s="61">
        <v>1</v>
      </c>
      <c r="D40" s="62">
        <f>C40/B40</f>
        <v>0.33333333333333331</v>
      </c>
      <c r="E40" s="61"/>
      <c r="F40" s="62"/>
      <c r="G40" s="61">
        <v>2</v>
      </c>
      <c r="H40" s="62">
        <f t="shared" si="11"/>
        <v>0.66666666666666663</v>
      </c>
      <c r="I40" s="61"/>
      <c r="J40" s="62"/>
      <c r="K40" s="62">
        <f t="shared" si="12"/>
        <v>0.66666666666666663</v>
      </c>
      <c r="L40" s="62">
        <f t="shared" si="13"/>
        <v>0.66666666666666663</v>
      </c>
      <c r="M40" s="63">
        <f t="shared" si="14"/>
        <v>3.3333333333333335</v>
      </c>
      <c r="N40" s="89">
        <f>126/B40</f>
        <v>42</v>
      </c>
    </row>
    <row r="41" spans="1:14" ht="15" customHeight="1" x14ac:dyDescent="0.25">
      <c r="A41" s="71" t="s">
        <v>227</v>
      </c>
      <c r="B41" s="72">
        <v>2</v>
      </c>
      <c r="C41" s="61"/>
      <c r="D41" s="62"/>
      <c r="E41" s="61"/>
      <c r="F41" s="62"/>
      <c r="G41" s="61">
        <v>2</v>
      </c>
      <c r="H41" s="62">
        <f t="shared" si="11"/>
        <v>1</v>
      </c>
      <c r="I41" s="61"/>
      <c r="J41" s="62"/>
      <c r="K41" s="62">
        <f t="shared" si="12"/>
        <v>1</v>
      </c>
      <c r="L41" s="62">
        <f t="shared" si="13"/>
        <v>1</v>
      </c>
      <c r="M41" s="63">
        <f t="shared" si="14"/>
        <v>4</v>
      </c>
      <c r="N41" s="89">
        <f>100/B41</f>
        <v>50</v>
      </c>
    </row>
    <row r="42" spans="1:14" ht="15" customHeight="1" x14ac:dyDescent="0.25">
      <c r="A42" s="65" t="s">
        <v>146</v>
      </c>
      <c r="B42" s="72">
        <v>1</v>
      </c>
      <c r="C42" s="61"/>
      <c r="D42" s="62"/>
      <c r="E42" s="61"/>
      <c r="F42" s="62"/>
      <c r="G42" s="61">
        <v>1</v>
      </c>
      <c r="H42" s="62">
        <f t="shared" si="11"/>
        <v>1</v>
      </c>
      <c r="I42" s="61"/>
      <c r="J42" s="62"/>
      <c r="K42" s="62">
        <f t="shared" si="12"/>
        <v>1</v>
      </c>
      <c r="L42" s="62">
        <f t="shared" si="13"/>
        <v>1</v>
      </c>
      <c r="M42" s="63">
        <f t="shared" si="14"/>
        <v>4</v>
      </c>
      <c r="N42" s="89">
        <f>50/B42</f>
        <v>50</v>
      </c>
    </row>
    <row r="43" spans="1:14" ht="15" customHeight="1" x14ac:dyDescent="0.25">
      <c r="A43" s="65" t="s">
        <v>152</v>
      </c>
      <c r="B43" s="72">
        <v>1</v>
      </c>
      <c r="C43" s="61"/>
      <c r="D43" s="62"/>
      <c r="E43" s="61">
        <v>1</v>
      </c>
      <c r="F43" s="62">
        <f>E43/B43</f>
        <v>1</v>
      </c>
      <c r="G43" s="61"/>
      <c r="H43" s="62"/>
      <c r="I43" s="61"/>
      <c r="J43" s="62"/>
      <c r="K43" s="62">
        <f t="shared" si="12"/>
        <v>0</v>
      </c>
      <c r="L43" s="62">
        <f t="shared" si="13"/>
        <v>1</v>
      </c>
      <c r="M43" s="63">
        <f t="shared" si="14"/>
        <v>3</v>
      </c>
      <c r="N43" s="89">
        <f>33/B43</f>
        <v>33</v>
      </c>
    </row>
    <row r="44" spans="1:14" ht="15" customHeight="1" x14ac:dyDescent="0.25">
      <c r="A44" s="65" t="s">
        <v>186</v>
      </c>
      <c r="B44" s="72">
        <v>2</v>
      </c>
      <c r="C44" s="61"/>
      <c r="D44" s="62"/>
      <c r="E44" s="61">
        <v>1</v>
      </c>
      <c r="F44" s="62">
        <f>E44/B44</f>
        <v>0.5</v>
      </c>
      <c r="G44" s="61">
        <v>1</v>
      </c>
      <c r="H44" s="62">
        <f>G44/B44</f>
        <v>0.5</v>
      </c>
      <c r="I44" s="61"/>
      <c r="J44" s="62"/>
      <c r="K44" s="62">
        <f t="shared" si="12"/>
        <v>0.5</v>
      </c>
      <c r="L44" s="62">
        <f t="shared" si="13"/>
        <v>1</v>
      </c>
      <c r="M44" s="63">
        <f t="shared" si="14"/>
        <v>3.5</v>
      </c>
      <c r="N44" s="89">
        <f>89/B44</f>
        <v>44.5</v>
      </c>
    </row>
    <row r="46" spans="1:14" s="87" customFormat="1" ht="15.75" customHeight="1" x14ac:dyDescent="0.25">
      <c r="A46" s="74" t="s">
        <v>66</v>
      </c>
      <c r="B46" s="66">
        <f>SUM(B47:B51)</f>
        <v>7</v>
      </c>
      <c r="C46" s="66">
        <f>SUM(C47:C51)</f>
        <v>4</v>
      </c>
      <c r="D46" s="58">
        <f>C46/B46</f>
        <v>0.5714285714285714</v>
      </c>
      <c r="E46" s="66">
        <f>SUM(E47:E51)</f>
        <v>3</v>
      </c>
      <c r="F46" s="58">
        <f>E46/B46</f>
        <v>0.42857142857142855</v>
      </c>
      <c r="G46" s="66">
        <f>SUM(G47:G51)</f>
        <v>0</v>
      </c>
      <c r="H46" s="58">
        <f>G46/B46</f>
        <v>0</v>
      </c>
      <c r="I46" s="66">
        <f>SUM(I47:I51)</f>
        <v>0</v>
      </c>
      <c r="J46" s="58">
        <f>I46/B46</f>
        <v>0</v>
      </c>
      <c r="K46" s="58">
        <f t="shared" ref="K46:K51" si="15">(G46+I46)/B46</f>
        <v>0</v>
      </c>
      <c r="L46" s="58">
        <f t="shared" ref="L46:L51" si="16">(E46+G46+I46)/B46</f>
        <v>0.42857142857142855</v>
      </c>
      <c r="M46" s="59">
        <f t="shared" ref="M46:M51" si="17">((E46*3)+(G46*4)+(I46*5)+(C46*2))/B46</f>
        <v>2.4285714285714284</v>
      </c>
      <c r="N46" s="88">
        <f>234/B46</f>
        <v>33.428571428571431</v>
      </c>
    </row>
    <row r="47" spans="1:14" s="82" customFormat="1" ht="15" customHeight="1" x14ac:dyDescent="0.25">
      <c r="A47" s="76" t="s">
        <v>97</v>
      </c>
      <c r="B47" s="77">
        <v>1</v>
      </c>
      <c r="C47" s="78"/>
      <c r="D47" s="79"/>
      <c r="E47" s="78">
        <v>1</v>
      </c>
      <c r="F47" s="79">
        <f>E47/B47</f>
        <v>1</v>
      </c>
      <c r="G47" s="78"/>
      <c r="H47" s="79"/>
      <c r="I47" s="78"/>
      <c r="J47" s="79"/>
      <c r="K47" s="79">
        <f t="shared" si="15"/>
        <v>0</v>
      </c>
      <c r="L47" s="79">
        <f t="shared" si="16"/>
        <v>1</v>
      </c>
      <c r="M47" s="80">
        <f t="shared" si="17"/>
        <v>3</v>
      </c>
      <c r="N47" s="90">
        <f>47/B47</f>
        <v>47</v>
      </c>
    </row>
    <row r="48" spans="1:14" s="82" customFormat="1" ht="15" customHeight="1" x14ac:dyDescent="0.25">
      <c r="A48" s="76" t="s">
        <v>107</v>
      </c>
      <c r="B48" s="77">
        <v>1</v>
      </c>
      <c r="C48" s="78"/>
      <c r="D48" s="79"/>
      <c r="E48" s="78">
        <v>1</v>
      </c>
      <c r="F48" s="79">
        <f>E48/B48</f>
        <v>1</v>
      </c>
      <c r="G48" s="78"/>
      <c r="H48" s="79"/>
      <c r="I48" s="78"/>
      <c r="J48" s="79"/>
      <c r="K48" s="79">
        <f t="shared" si="15"/>
        <v>0</v>
      </c>
      <c r="L48" s="79">
        <f t="shared" si="16"/>
        <v>1</v>
      </c>
      <c r="M48" s="80">
        <f t="shared" si="17"/>
        <v>3</v>
      </c>
      <c r="N48" s="90">
        <f>38/B48</f>
        <v>38</v>
      </c>
    </row>
    <row r="49" spans="1:14" s="82" customFormat="1" ht="15" customHeight="1" x14ac:dyDescent="0.25">
      <c r="A49" s="76" t="s">
        <v>133</v>
      </c>
      <c r="B49" s="77">
        <v>2</v>
      </c>
      <c r="C49" s="78">
        <v>1</v>
      </c>
      <c r="D49" s="79">
        <f>C49/B49</f>
        <v>0.5</v>
      </c>
      <c r="E49" s="78">
        <v>1</v>
      </c>
      <c r="F49" s="79">
        <f>E49/B49</f>
        <v>0.5</v>
      </c>
      <c r="G49" s="78"/>
      <c r="H49" s="79"/>
      <c r="I49" s="78"/>
      <c r="J49" s="79"/>
      <c r="K49" s="79">
        <f t="shared" si="15"/>
        <v>0</v>
      </c>
      <c r="L49" s="79">
        <f t="shared" si="16"/>
        <v>0.5</v>
      </c>
      <c r="M49" s="80">
        <f t="shared" si="17"/>
        <v>2.5</v>
      </c>
      <c r="N49" s="90">
        <f>76/B49</f>
        <v>38</v>
      </c>
    </row>
    <row r="50" spans="1:14" s="82" customFormat="1" ht="15" customHeight="1" x14ac:dyDescent="0.25">
      <c r="A50" s="76" t="s">
        <v>227</v>
      </c>
      <c r="B50" s="77">
        <v>2</v>
      </c>
      <c r="C50" s="78">
        <v>2</v>
      </c>
      <c r="D50" s="79">
        <f>C50/B50</f>
        <v>1</v>
      </c>
      <c r="E50" s="78"/>
      <c r="F50" s="79"/>
      <c r="G50" s="78"/>
      <c r="H50" s="79"/>
      <c r="I50" s="78"/>
      <c r="J50" s="79"/>
      <c r="K50" s="79">
        <f t="shared" si="15"/>
        <v>0</v>
      </c>
      <c r="L50" s="79">
        <f t="shared" si="16"/>
        <v>0</v>
      </c>
      <c r="M50" s="80">
        <f t="shared" si="17"/>
        <v>2</v>
      </c>
      <c r="N50" s="90">
        <f>50/B50</f>
        <v>25</v>
      </c>
    </row>
    <row r="51" spans="1:14" s="82" customFormat="1" ht="15" customHeight="1" x14ac:dyDescent="0.25">
      <c r="A51" s="76" t="s">
        <v>146</v>
      </c>
      <c r="B51" s="77">
        <v>1</v>
      </c>
      <c r="C51" s="78">
        <v>1</v>
      </c>
      <c r="D51" s="79">
        <f>C51/B51</f>
        <v>1</v>
      </c>
      <c r="E51" s="78"/>
      <c r="F51" s="79"/>
      <c r="G51" s="78"/>
      <c r="H51" s="79"/>
      <c r="I51" s="78"/>
      <c r="J51" s="79"/>
      <c r="K51" s="79">
        <f t="shared" si="15"/>
        <v>0</v>
      </c>
      <c r="L51" s="79">
        <f t="shared" si="16"/>
        <v>0</v>
      </c>
      <c r="M51" s="80">
        <f t="shared" si="17"/>
        <v>2</v>
      </c>
      <c r="N51" s="90">
        <f>23/B51</f>
        <v>23</v>
      </c>
    </row>
    <row r="53" spans="1:14" s="87" customFormat="1" ht="15.75" customHeight="1" x14ac:dyDescent="0.25">
      <c r="A53" s="74" t="s">
        <v>67</v>
      </c>
      <c r="B53" s="66">
        <f>SUM(B54:B64)</f>
        <v>28</v>
      </c>
      <c r="C53" s="66">
        <f>SUM(C54:C64)</f>
        <v>6</v>
      </c>
      <c r="D53" s="58">
        <f>C53/B53</f>
        <v>0.21428571428571427</v>
      </c>
      <c r="E53" s="66">
        <f>SUM(E54:E64)</f>
        <v>10</v>
      </c>
      <c r="F53" s="58">
        <f>E53/B53</f>
        <v>0.35714285714285715</v>
      </c>
      <c r="G53" s="66">
        <f>SUM(G54:G64)</f>
        <v>10</v>
      </c>
      <c r="H53" s="58">
        <f>G53/B53</f>
        <v>0.35714285714285715</v>
      </c>
      <c r="I53" s="66">
        <f>SUM(I54:I64)</f>
        <v>2</v>
      </c>
      <c r="J53" s="58">
        <f>I53/B53</f>
        <v>7.1428571428571425E-2</v>
      </c>
      <c r="K53" s="58">
        <f t="shared" ref="K53:K64" si="18">(G53+I53)/B53</f>
        <v>0.42857142857142855</v>
      </c>
      <c r="L53" s="58">
        <f t="shared" ref="L53:L64" si="19">(E53+G53+I53)/B53</f>
        <v>0.7857142857142857</v>
      </c>
      <c r="M53" s="59">
        <f t="shared" ref="M53:M64" si="20">((E53*3)+(G53*4)+(I53*5)+(C53*2))/B53</f>
        <v>3.2857142857142856</v>
      </c>
      <c r="N53" s="88">
        <f>1318/B53</f>
        <v>47.071428571428569</v>
      </c>
    </row>
    <row r="54" spans="1:14" s="82" customFormat="1" ht="15" customHeight="1" x14ac:dyDescent="0.25">
      <c r="A54" s="76" t="s">
        <v>88</v>
      </c>
      <c r="B54" s="77">
        <v>1</v>
      </c>
      <c r="C54" s="78"/>
      <c r="D54" s="79"/>
      <c r="E54" s="78">
        <v>1</v>
      </c>
      <c r="F54" s="79">
        <f>E54/B54</f>
        <v>1</v>
      </c>
      <c r="G54" s="78"/>
      <c r="H54" s="79"/>
      <c r="I54" s="78"/>
      <c r="J54" s="79"/>
      <c r="K54" s="79">
        <f t="shared" si="18"/>
        <v>0</v>
      </c>
      <c r="L54" s="79">
        <f t="shared" si="19"/>
        <v>1</v>
      </c>
      <c r="M54" s="80">
        <f t="shared" si="20"/>
        <v>3</v>
      </c>
      <c r="N54" s="90">
        <f>43/B54</f>
        <v>43</v>
      </c>
    </row>
    <row r="55" spans="1:14" s="82" customFormat="1" ht="15" customHeight="1" x14ac:dyDescent="0.25">
      <c r="A55" s="76" t="s">
        <v>97</v>
      </c>
      <c r="B55" s="77">
        <v>3</v>
      </c>
      <c r="C55" s="78"/>
      <c r="D55" s="79"/>
      <c r="E55" s="78"/>
      <c r="F55" s="79"/>
      <c r="G55" s="78">
        <v>3</v>
      </c>
      <c r="H55" s="79">
        <f>G55/B55</f>
        <v>1</v>
      </c>
      <c r="I55" s="78"/>
      <c r="J55" s="79"/>
      <c r="K55" s="79">
        <f t="shared" si="18"/>
        <v>1</v>
      </c>
      <c r="L55" s="79">
        <f t="shared" si="19"/>
        <v>1</v>
      </c>
      <c r="M55" s="80">
        <f t="shared" si="20"/>
        <v>4</v>
      </c>
      <c r="N55" s="90">
        <f>191/B55</f>
        <v>63.666666666666664</v>
      </c>
    </row>
    <row r="56" spans="1:14" s="82" customFormat="1" ht="15" customHeight="1" x14ac:dyDescent="0.25">
      <c r="A56" s="76" t="s">
        <v>107</v>
      </c>
      <c r="B56" s="77">
        <v>5</v>
      </c>
      <c r="C56" s="78"/>
      <c r="D56" s="79"/>
      <c r="E56" s="78">
        <v>1</v>
      </c>
      <c r="F56" s="79">
        <f>E56/B56</f>
        <v>0.2</v>
      </c>
      <c r="G56" s="78">
        <v>4</v>
      </c>
      <c r="H56" s="79">
        <f>G56/B56</f>
        <v>0.8</v>
      </c>
      <c r="I56" s="78"/>
      <c r="J56" s="79"/>
      <c r="K56" s="79">
        <f t="shared" si="18"/>
        <v>0.8</v>
      </c>
      <c r="L56" s="79">
        <f t="shared" si="19"/>
        <v>1</v>
      </c>
      <c r="M56" s="80">
        <f t="shared" si="20"/>
        <v>3.8</v>
      </c>
      <c r="N56" s="90">
        <f>301/B56</f>
        <v>60.2</v>
      </c>
    </row>
    <row r="57" spans="1:14" s="82" customFormat="1" ht="15" customHeight="1" x14ac:dyDescent="0.25">
      <c r="A57" s="76" t="s">
        <v>129</v>
      </c>
      <c r="B57" s="77">
        <v>10</v>
      </c>
      <c r="C57" s="78">
        <v>5</v>
      </c>
      <c r="D57" s="79">
        <f>C57/B57</f>
        <v>0.5</v>
      </c>
      <c r="E57" s="78">
        <v>3</v>
      </c>
      <c r="F57" s="79">
        <f>E57/B57</f>
        <v>0.3</v>
      </c>
      <c r="G57" s="78">
        <v>1</v>
      </c>
      <c r="H57" s="79">
        <f>G57/B57</f>
        <v>0.1</v>
      </c>
      <c r="I57" s="78">
        <v>1</v>
      </c>
      <c r="J57" s="79">
        <f>I57/B57</f>
        <v>0.1</v>
      </c>
      <c r="K57" s="79">
        <f t="shared" si="18"/>
        <v>0.2</v>
      </c>
      <c r="L57" s="79">
        <f t="shared" si="19"/>
        <v>0.5</v>
      </c>
      <c r="M57" s="80">
        <f t="shared" si="20"/>
        <v>2.8</v>
      </c>
      <c r="N57" s="90">
        <f>295/B57</f>
        <v>29.5</v>
      </c>
    </row>
    <row r="58" spans="1:14" s="82" customFormat="1" ht="15" customHeight="1" x14ac:dyDescent="0.25">
      <c r="A58" s="76" t="s">
        <v>133</v>
      </c>
      <c r="B58" s="77">
        <v>1</v>
      </c>
      <c r="C58" s="78"/>
      <c r="D58" s="79"/>
      <c r="E58" s="78">
        <v>1</v>
      </c>
      <c r="F58" s="79">
        <f>E58/B58</f>
        <v>1</v>
      </c>
      <c r="G58" s="78"/>
      <c r="H58" s="79"/>
      <c r="I58" s="78"/>
      <c r="J58" s="79"/>
      <c r="K58" s="79">
        <f t="shared" si="18"/>
        <v>0</v>
      </c>
      <c r="L58" s="79">
        <f t="shared" si="19"/>
        <v>1</v>
      </c>
      <c r="M58" s="80">
        <f t="shared" si="20"/>
        <v>3</v>
      </c>
      <c r="N58" s="90">
        <f>42/B58</f>
        <v>42</v>
      </c>
    </row>
    <row r="59" spans="1:14" s="82" customFormat="1" ht="15" customHeight="1" x14ac:dyDescent="0.25">
      <c r="A59" s="76" t="s">
        <v>140</v>
      </c>
      <c r="B59" s="77">
        <v>1</v>
      </c>
      <c r="C59" s="78">
        <v>1</v>
      </c>
      <c r="D59" s="79">
        <f>C59/B59</f>
        <v>1</v>
      </c>
      <c r="E59" s="78"/>
      <c r="F59" s="79"/>
      <c r="G59" s="78"/>
      <c r="H59" s="79"/>
      <c r="I59" s="78"/>
      <c r="J59" s="79"/>
      <c r="K59" s="79">
        <f t="shared" si="18"/>
        <v>0</v>
      </c>
      <c r="L59" s="79">
        <f t="shared" si="19"/>
        <v>0</v>
      </c>
      <c r="M59" s="80">
        <f t="shared" si="20"/>
        <v>2</v>
      </c>
      <c r="N59" s="90">
        <f>28/B59</f>
        <v>28</v>
      </c>
    </row>
    <row r="60" spans="1:14" s="82" customFormat="1" ht="15" customHeight="1" x14ac:dyDescent="0.25">
      <c r="A60" s="76" t="s">
        <v>227</v>
      </c>
      <c r="B60" s="77">
        <v>1</v>
      </c>
      <c r="C60" s="78"/>
      <c r="D60" s="79"/>
      <c r="E60" s="78">
        <v>1</v>
      </c>
      <c r="F60" s="79">
        <f>E60/B60</f>
        <v>1</v>
      </c>
      <c r="G60" s="78"/>
      <c r="H60" s="79"/>
      <c r="I60" s="78"/>
      <c r="J60" s="79"/>
      <c r="K60" s="79">
        <f t="shared" si="18"/>
        <v>0</v>
      </c>
      <c r="L60" s="79">
        <f t="shared" si="19"/>
        <v>1</v>
      </c>
      <c r="M60" s="80">
        <f t="shared" si="20"/>
        <v>3</v>
      </c>
      <c r="N60" s="90">
        <f>54/B60</f>
        <v>54</v>
      </c>
    </row>
    <row r="61" spans="1:14" s="82" customFormat="1" ht="15" customHeight="1" x14ac:dyDescent="0.25">
      <c r="A61" s="76" t="s">
        <v>152</v>
      </c>
      <c r="B61" s="77">
        <v>2</v>
      </c>
      <c r="C61" s="78"/>
      <c r="D61" s="79"/>
      <c r="E61" s="78">
        <v>1</v>
      </c>
      <c r="F61" s="79">
        <f>E61/B61</f>
        <v>0.5</v>
      </c>
      <c r="G61" s="78">
        <v>1</v>
      </c>
      <c r="H61" s="79">
        <f>G61/B61</f>
        <v>0.5</v>
      </c>
      <c r="I61" s="78"/>
      <c r="J61" s="79"/>
      <c r="K61" s="79">
        <f t="shared" si="18"/>
        <v>0.5</v>
      </c>
      <c r="L61" s="79">
        <f t="shared" si="19"/>
        <v>1</v>
      </c>
      <c r="M61" s="80">
        <f t="shared" si="20"/>
        <v>3.5</v>
      </c>
      <c r="N61" s="90">
        <f>116/B61</f>
        <v>58</v>
      </c>
    </row>
    <row r="62" spans="1:14" s="82" customFormat="1" ht="15" customHeight="1" x14ac:dyDescent="0.25">
      <c r="A62" s="76" t="s">
        <v>229</v>
      </c>
      <c r="B62" s="77">
        <v>1</v>
      </c>
      <c r="C62" s="78"/>
      <c r="D62" s="79"/>
      <c r="E62" s="78"/>
      <c r="F62" s="79"/>
      <c r="G62" s="78"/>
      <c r="H62" s="79"/>
      <c r="I62" s="78">
        <v>1</v>
      </c>
      <c r="J62" s="79">
        <f>I62/B62</f>
        <v>1</v>
      </c>
      <c r="K62" s="79">
        <f t="shared" si="18"/>
        <v>1</v>
      </c>
      <c r="L62" s="79">
        <f t="shared" si="19"/>
        <v>1</v>
      </c>
      <c r="M62" s="80">
        <f t="shared" si="20"/>
        <v>5</v>
      </c>
      <c r="N62" s="90">
        <f>74/B62</f>
        <v>74</v>
      </c>
    </row>
    <row r="63" spans="1:14" s="82" customFormat="1" ht="15" customHeight="1" x14ac:dyDescent="0.25">
      <c r="A63" s="76" t="s">
        <v>165</v>
      </c>
      <c r="B63" s="77">
        <v>1</v>
      </c>
      <c r="C63" s="78"/>
      <c r="D63" s="79"/>
      <c r="E63" s="78">
        <v>1</v>
      </c>
      <c r="F63" s="79">
        <f>E63/B63</f>
        <v>1</v>
      </c>
      <c r="G63" s="78"/>
      <c r="H63" s="79"/>
      <c r="I63" s="78"/>
      <c r="J63" s="79"/>
      <c r="K63" s="79">
        <f t="shared" si="18"/>
        <v>0</v>
      </c>
      <c r="L63" s="79">
        <f t="shared" si="19"/>
        <v>1</v>
      </c>
      <c r="M63" s="80">
        <f t="shared" si="20"/>
        <v>3</v>
      </c>
      <c r="N63" s="90">
        <f>55/B63</f>
        <v>55</v>
      </c>
    </row>
    <row r="64" spans="1:14" s="82" customFormat="1" ht="15" customHeight="1" x14ac:dyDescent="0.25">
      <c r="A64" s="76" t="s">
        <v>186</v>
      </c>
      <c r="B64" s="77">
        <v>2</v>
      </c>
      <c r="C64" s="78"/>
      <c r="D64" s="79"/>
      <c r="E64" s="78">
        <v>1</v>
      </c>
      <c r="F64" s="79">
        <f>E64/B64</f>
        <v>0.5</v>
      </c>
      <c r="G64" s="78">
        <v>1</v>
      </c>
      <c r="H64" s="79">
        <f>G64/B64</f>
        <v>0.5</v>
      </c>
      <c r="I64" s="78"/>
      <c r="J64" s="79"/>
      <c r="K64" s="79">
        <f t="shared" si="18"/>
        <v>0.5</v>
      </c>
      <c r="L64" s="79">
        <f t="shared" si="19"/>
        <v>1</v>
      </c>
      <c r="M64" s="80">
        <f t="shared" si="20"/>
        <v>3.5</v>
      </c>
      <c r="N64" s="90">
        <f>119/B64</f>
        <v>59.5</v>
      </c>
    </row>
    <row r="65" spans="1:14" s="82" customFormat="1" ht="15" customHeight="1" x14ac:dyDescent="0.25">
      <c r="A65" s="76"/>
      <c r="B65" s="77"/>
      <c r="C65" s="78"/>
      <c r="D65" s="79"/>
      <c r="E65" s="78"/>
      <c r="F65" s="79"/>
      <c r="G65" s="78"/>
      <c r="H65" s="79"/>
      <c r="I65" s="78"/>
      <c r="J65" s="79"/>
      <c r="K65" s="79"/>
      <c r="L65" s="79"/>
      <c r="M65" s="80"/>
      <c r="N65" s="90"/>
    </row>
    <row r="66" spans="1:14" s="75" customFormat="1" ht="15" customHeight="1" x14ac:dyDescent="0.25">
      <c r="A66" s="74" t="s">
        <v>231</v>
      </c>
      <c r="B66" s="66">
        <v>2</v>
      </c>
      <c r="C66" s="57">
        <v>0</v>
      </c>
      <c r="D66" s="58">
        <f>C66/B66</f>
        <v>0</v>
      </c>
      <c r="E66" s="57">
        <v>2</v>
      </c>
      <c r="F66" s="58">
        <f>E66/B66</f>
        <v>1</v>
      </c>
      <c r="G66" s="57">
        <v>0</v>
      </c>
      <c r="H66" s="58">
        <f>G66/B66</f>
        <v>0</v>
      </c>
      <c r="I66" s="57">
        <v>0</v>
      </c>
      <c r="J66" s="58">
        <f>I66/B66</f>
        <v>0</v>
      </c>
      <c r="K66" s="58">
        <f>(G66+I66)/B66</f>
        <v>0</v>
      </c>
      <c r="L66" s="58">
        <f>(E66+G66+I66)/B66</f>
        <v>1</v>
      </c>
      <c r="M66" s="59">
        <f>((E66*3)+(G66*4)+(I66*5)+(C66*2))/B66</f>
        <v>3</v>
      </c>
      <c r="N66" s="88">
        <f>90/B66</f>
        <v>45</v>
      </c>
    </row>
    <row r="67" spans="1:14" ht="15" customHeight="1" x14ac:dyDescent="0.25">
      <c r="A67" s="65" t="s">
        <v>97</v>
      </c>
      <c r="B67" s="72">
        <v>1</v>
      </c>
      <c r="C67" s="61"/>
      <c r="D67" s="62"/>
      <c r="E67" s="61">
        <v>1</v>
      </c>
      <c r="F67" s="62">
        <f>E67/B67</f>
        <v>1</v>
      </c>
      <c r="G67" s="61"/>
      <c r="H67" s="62"/>
      <c r="I67" s="61"/>
      <c r="J67" s="62"/>
      <c r="K67" s="62">
        <f>(G67+I67)/B67</f>
        <v>0</v>
      </c>
      <c r="L67" s="62">
        <f>(E67+G67+I67)/B67</f>
        <v>1</v>
      </c>
      <c r="M67" s="63">
        <f>((E67*3)+(G67*4)+(I67*5)+(C67*2))/B67</f>
        <v>3</v>
      </c>
      <c r="N67" s="89">
        <f>50/B67</f>
        <v>50</v>
      </c>
    </row>
    <row r="68" spans="1:14" ht="15" customHeight="1" x14ac:dyDescent="0.25">
      <c r="A68" s="65" t="s">
        <v>133</v>
      </c>
      <c r="B68" s="72">
        <v>1</v>
      </c>
      <c r="C68" s="61"/>
      <c r="D68" s="62"/>
      <c r="E68" s="61">
        <v>1</v>
      </c>
      <c r="F68" s="62">
        <f>E68/B68</f>
        <v>1</v>
      </c>
      <c r="G68" s="61"/>
      <c r="H68" s="62"/>
      <c r="I68" s="61"/>
      <c r="J68" s="62"/>
      <c r="K68" s="62">
        <f>(G68+I68)/B68</f>
        <v>0</v>
      </c>
      <c r="L68" s="62">
        <f>(E68+G68+I68)/B68</f>
        <v>1</v>
      </c>
      <c r="M68" s="63">
        <f>((E68*3)+(G68*4)+(I68*5)+(C68*2))/B68</f>
        <v>3</v>
      </c>
      <c r="N68" s="89">
        <f>40/B68</f>
        <v>40</v>
      </c>
    </row>
    <row r="69" spans="1:14" s="82" customFormat="1" ht="15" customHeight="1" x14ac:dyDescent="0.25">
      <c r="A69" s="76"/>
      <c r="B69" s="77"/>
      <c r="C69" s="78"/>
      <c r="D69" s="79"/>
      <c r="E69" s="78"/>
      <c r="F69" s="79"/>
      <c r="G69" s="78"/>
      <c r="H69" s="79"/>
      <c r="I69" s="78"/>
      <c r="J69" s="79"/>
      <c r="K69" s="79"/>
      <c r="L69" s="79"/>
      <c r="M69" s="80"/>
      <c r="N69" s="90"/>
    </row>
    <row r="70" spans="1:14" s="87" customFormat="1" ht="15" customHeight="1" x14ac:dyDescent="0.25">
      <c r="A70" s="74" t="s">
        <v>68</v>
      </c>
      <c r="B70" s="66">
        <f>SUM(B71:B82)</f>
        <v>40</v>
      </c>
      <c r="C70" s="66">
        <f>SUM(C71:C82)</f>
        <v>28</v>
      </c>
      <c r="D70" s="58">
        <f t="shared" ref="D70:D82" si="21">C70/B70</f>
        <v>0.7</v>
      </c>
      <c r="E70" s="66">
        <f>SUM(E71:E82)</f>
        <v>7</v>
      </c>
      <c r="F70" s="58">
        <f>E70/B70</f>
        <v>0.17499999999999999</v>
      </c>
      <c r="G70" s="66">
        <f>SUM(G71:G82)</f>
        <v>3</v>
      </c>
      <c r="H70" s="58">
        <f>G70/B70</f>
        <v>7.4999999999999997E-2</v>
      </c>
      <c r="I70" s="66">
        <f>SUM(I71:I82)</f>
        <v>2</v>
      </c>
      <c r="J70" s="58">
        <f>I70/B70</f>
        <v>0.05</v>
      </c>
      <c r="K70" s="58">
        <f t="shared" ref="K70:K82" si="22">(G70+I70)/B70</f>
        <v>0.125</v>
      </c>
      <c r="L70" s="58">
        <f t="shared" ref="L70:L82" si="23">(E70+G70+I70)/B70</f>
        <v>0.3</v>
      </c>
      <c r="M70" s="59">
        <f t="shared" ref="M70:M82" si="24">((E70*3)+(G70*4)+(I70*5)+(C70*2))/B70</f>
        <v>2.4750000000000001</v>
      </c>
      <c r="N70" s="88">
        <f>1189/B70</f>
        <v>29.725000000000001</v>
      </c>
    </row>
    <row r="71" spans="1:14" ht="15" customHeight="1" x14ac:dyDescent="0.25">
      <c r="A71" s="65" t="s">
        <v>88</v>
      </c>
      <c r="B71" s="72">
        <v>1</v>
      </c>
      <c r="C71" s="61">
        <v>1</v>
      </c>
      <c r="D71" s="62">
        <f t="shared" si="21"/>
        <v>1</v>
      </c>
      <c r="E71" s="61"/>
      <c r="F71" s="62"/>
      <c r="G71" s="61"/>
      <c r="H71" s="62"/>
      <c r="I71" s="61"/>
      <c r="J71" s="62"/>
      <c r="K71" s="62">
        <f t="shared" si="22"/>
        <v>0</v>
      </c>
      <c r="L71" s="62">
        <f t="shared" si="23"/>
        <v>0</v>
      </c>
      <c r="M71" s="63">
        <f t="shared" si="24"/>
        <v>2</v>
      </c>
      <c r="N71" s="89">
        <f>25/B71</f>
        <v>25</v>
      </c>
    </row>
    <row r="72" spans="1:14" ht="15" customHeight="1" x14ac:dyDescent="0.25">
      <c r="A72" s="65" t="s">
        <v>97</v>
      </c>
      <c r="B72" s="72">
        <v>3</v>
      </c>
      <c r="C72" s="61">
        <v>1</v>
      </c>
      <c r="D72" s="62">
        <f t="shared" si="21"/>
        <v>0.33333333333333331</v>
      </c>
      <c r="E72" s="61">
        <v>1</v>
      </c>
      <c r="F72" s="62">
        <f>E72/B72</f>
        <v>0.33333333333333331</v>
      </c>
      <c r="G72" s="61"/>
      <c r="H72" s="62"/>
      <c r="I72" s="61">
        <v>1</v>
      </c>
      <c r="J72" s="62">
        <f>I72/B72</f>
        <v>0.33333333333333331</v>
      </c>
      <c r="K72" s="62">
        <f t="shared" si="22"/>
        <v>0.33333333333333331</v>
      </c>
      <c r="L72" s="62">
        <f t="shared" si="23"/>
        <v>0.66666666666666663</v>
      </c>
      <c r="M72" s="63">
        <f t="shared" si="24"/>
        <v>3.3333333333333335</v>
      </c>
      <c r="N72" s="89">
        <f>124/B72</f>
        <v>41.333333333333336</v>
      </c>
    </row>
    <row r="73" spans="1:14" ht="15" customHeight="1" x14ac:dyDescent="0.25">
      <c r="A73" s="65" t="s">
        <v>107</v>
      </c>
      <c r="B73" s="72">
        <v>8</v>
      </c>
      <c r="C73" s="61">
        <v>4</v>
      </c>
      <c r="D73" s="62">
        <f t="shared" si="21"/>
        <v>0.5</v>
      </c>
      <c r="E73" s="61">
        <v>3</v>
      </c>
      <c r="F73" s="62">
        <f>E73/B73</f>
        <v>0.375</v>
      </c>
      <c r="G73" s="61"/>
      <c r="H73" s="62"/>
      <c r="I73" s="61">
        <v>1</v>
      </c>
      <c r="J73" s="62">
        <f>I73/B73</f>
        <v>0.125</v>
      </c>
      <c r="K73" s="62">
        <f t="shared" si="22"/>
        <v>0.125</v>
      </c>
      <c r="L73" s="62">
        <f t="shared" si="23"/>
        <v>0.5</v>
      </c>
      <c r="M73" s="63">
        <f t="shared" si="24"/>
        <v>2.75</v>
      </c>
      <c r="N73" s="89">
        <f>277/B73</f>
        <v>34.625</v>
      </c>
    </row>
    <row r="74" spans="1:14" ht="15" customHeight="1" x14ac:dyDescent="0.25">
      <c r="A74" s="65" t="s">
        <v>129</v>
      </c>
      <c r="B74" s="72">
        <v>8</v>
      </c>
      <c r="C74" s="61">
        <v>6</v>
      </c>
      <c r="D74" s="62">
        <f t="shared" si="21"/>
        <v>0.75</v>
      </c>
      <c r="E74" s="61">
        <v>1</v>
      </c>
      <c r="F74" s="62">
        <f>E74/B74</f>
        <v>0.125</v>
      </c>
      <c r="G74" s="61">
        <v>1</v>
      </c>
      <c r="H74" s="62">
        <f>G74/B74</f>
        <v>0.125</v>
      </c>
      <c r="I74" s="61"/>
      <c r="J74" s="62"/>
      <c r="K74" s="62">
        <f t="shared" si="22"/>
        <v>0.125</v>
      </c>
      <c r="L74" s="62">
        <f t="shared" si="23"/>
        <v>0.25</v>
      </c>
      <c r="M74" s="63">
        <f t="shared" si="24"/>
        <v>2.375</v>
      </c>
      <c r="N74" s="89">
        <f>205/B74</f>
        <v>25.625</v>
      </c>
    </row>
    <row r="75" spans="1:14" ht="15" customHeight="1" x14ac:dyDescent="0.25">
      <c r="A75" s="65" t="s">
        <v>133</v>
      </c>
      <c r="B75" s="72">
        <v>1</v>
      </c>
      <c r="C75" s="61">
        <v>1</v>
      </c>
      <c r="D75" s="62">
        <f t="shared" si="21"/>
        <v>1</v>
      </c>
      <c r="E75" s="61"/>
      <c r="F75" s="62"/>
      <c r="G75" s="61"/>
      <c r="H75" s="62"/>
      <c r="I75" s="61"/>
      <c r="J75" s="62"/>
      <c r="K75" s="62">
        <f t="shared" si="22"/>
        <v>0</v>
      </c>
      <c r="L75" s="62">
        <f t="shared" si="23"/>
        <v>0</v>
      </c>
      <c r="M75" s="63">
        <f t="shared" si="24"/>
        <v>2</v>
      </c>
      <c r="N75" s="89">
        <f>23/B75</f>
        <v>23</v>
      </c>
    </row>
    <row r="76" spans="1:14" ht="15" customHeight="1" x14ac:dyDescent="0.25">
      <c r="A76" s="65" t="s">
        <v>140</v>
      </c>
      <c r="B76" s="72">
        <v>1</v>
      </c>
      <c r="C76" s="61">
        <v>1</v>
      </c>
      <c r="D76" s="62">
        <f t="shared" si="21"/>
        <v>1</v>
      </c>
      <c r="E76" s="61"/>
      <c r="F76" s="62"/>
      <c r="G76" s="61"/>
      <c r="H76" s="62"/>
      <c r="I76" s="61"/>
      <c r="J76" s="62"/>
      <c r="K76" s="62">
        <f t="shared" si="22"/>
        <v>0</v>
      </c>
      <c r="L76" s="62">
        <f t="shared" si="23"/>
        <v>0</v>
      </c>
      <c r="M76" s="63">
        <f t="shared" si="24"/>
        <v>2</v>
      </c>
      <c r="N76" s="89">
        <f>18/B76</f>
        <v>18</v>
      </c>
    </row>
    <row r="77" spans="1:14" ht="15" customHeight="1" x14ac:dyDescent="0.25">
      <c r="A77" s="71" t="s">
        <v>227</v>
      </c>
      <c r="B77" s="72">
        <v>3</v>
      </c>
      <c r="C77" s="61">
        <v>2</v>
      </c>
      <c r="D77" s="62">
        <f t="shared" si="21"/>
        <v>0.66666666666666663</v>
      </c>
      <c r="E77" s="61"/>
      <c r="F77" s="62"/>
      <c r="G77" s="61">
        <v>1</v>
      </c>
      <c r="H77" s="62">
        <f>G77/B77</f>
        <v>0.33333333333333331</v>
      </c>
      <c r="I77" s="61"/>
      <c r="J77" s="62"/>
      <c r="K77" s="62">
        <f t="shared" si="22"/>
        <v>0.33333333333333331</v>
      </c>
      <c r="L77" s="62">
        <f t="shared" si="23"/>
        <v>0.33333333333333331</v>
      </c>
      <c r="M77" s="63">
        <f t="shared" si="24"/>
        <v>2.6666666666666665</v>
      </c>
      <c r="N77" s="89">
        <f>122/B77</f>
        <v>40.666666666666664</v>
      </c>
    </row>
    <row r="78" spans="1:14" ht="15" customHeight="1" x14ac:dyDescent="0.25">
      <c r="A78" s="65" t="s">
        <v>146</v>
      </c>
      <c r="B78" s="72">
        <v>1</v>
      </c>
      <c r="C78" s="61">
        <v>1</v>
      </c>
      <c r="D78" s="62">
        <f t="shared" si="21"/>
        <v>1</v>
      </c>
      <c r="E78" s="61"/>
      <c r="F78" s="62"/>
      <c r="G78" s="61"/>
      <c r="H78" s="62"/>
      <c r="I78" s="61"/>
      <c r="J78" s="62"/>
      <c r="K78" s="62">
        <f t="shared" si="22"/>
        <v>0</v>
      </c>
      <c r="L78" s="62">
        <f t="shared" si="23"/>
        <v>0</v>
      </c>
      <c r="M78" s="63">
        <f t="shared" si="24"/>
        <v>2</v>
      </c>
      <c r="N78" s="89">
        <f>7/B78</f>
        <v>7</v>
      </c>
    </row>
    <row r="79" spans="1:14" ht="15" customHeight="1" x14ac:dyDescent="0.25">
      <c r="A79" s="65" t="s">
        <v>152</v>
      </c>
      <c r="B79" s="72">
        <v>2</v>
      </c>
      <c r="C79" s="61">
        <v>1</v>
      </c>
      <c r="D79" s="62">
        <f t="shared" si="21"/>
        <v>0.5</v>
      </c>
      <c r="E79" s="61">
        <v>1</v>
      </c>
      <c r="F79" s="62">
        <f>E79/B79</f>
        <v>0.5</v>
      </c>
      <c r="G79" s="61"/>
      <c r="H79" s="62"/>
      <c r="I79" s="61"/>
      <c r="J79" s="62"/>
      <c r="K79" s="62">
        <f t="shared" si="22"/>
        <v>0</v>
      </c>
      <c r="L79" s="62">
        <f t="shared" si="23"/>
        <v>0.5</v>
      </c>
      <c r="M79" s="63">
        <f t="shared" si="24"/>
        <v>2.5</v>
      </c>
      <c r="N79" s="89">
        <f>82/B79</f>
        <v>41</v>
      </c>
    </row>
    <row r="80" spans="1:14" ht="15" customHeight="1" x14ac:dyDescent="0.25">
      <c r="A80" s="65" t="s">
        <v>229</v>
      </c>
      <c r="B80" s="72">
        <v>5</v>
      </c>
      <c r="C80" s="61">
        <v>5</v>
      </c>
      <c r="D80" s="62">
        <f t="shared" si="21"/>
        <v>1</v>
      </c>
      <c r="E80" s="61"/>
      <c r="F80" s="62"/>
      <c r="G80" s="61"/>
      <c r="H80" s="62"/>
      <c r="I80" s="61"/>
      <c r="J80" s="62"/>
      <c r="K80" s="62">
        <f t="shared" si="22"/>
        <v>0</v>
      </c>
      <c r="L80" s="62">
        <f t="shared" si="23"/>
        <v>0</v>
      </c>
      <c r="M80" s="63">
        <f t="shared" si="24"/>
        <v>2</v>
      </c>
      <c r="N80" s="89">
        <f>87/B80</f>
        <v>17.399999999999999</v>
      </c>
    </row>
    <row r="81" spans="1:14" ht="15" customHeight="1" x14ac:dyDescent="0.25">
      <c r="A81" s="65" t="s">
        <v>165</v>
      </c>
      <c r="B81" s="72">
        <v>3</v>
      </c>
      <c r="C81" s="61">
        <v>2</v>
      </c>
      <c r="D81" s="62">
        <f t="shared" si="21"/>
        <v>0.66666666666666663</v>
      </c>
      <c r="E81" s="61"/>
      <c r="F81" s="62"/>
      <c r="G81" s="61">
        <v>1</v>
      </c>
      <c r="H81" s="62">
        <f>G81/B81</f>
        <v>0.33333333333333331</v>
      </c>
      <c r="I81" s="61"/>
      <c r="J81" s="62"/>
      <c r="K81" s="62">
        <f t="shared" si="22"/>
        <v>0.33333333333333331</v>
      </c>
      <c r="L81" s="62">
        <f t="shared" si="23"/>
        <v>0.33333333333333331</v>
      </c>
      <c r="M81" s="63">
        <f t="shared" si="24"/>
        <v>2.6666666666666665</v>
      </c>
      <c r="N81" s="89">
        <f>101/B81</f>
        <v>33.666666666666664</v>
      </c>
    </row>
    <row r="82" spans="1:14" ht="15" customHeight="1" x14ac:dyDescent="0.25">
      <c r="A82" s="65" t="s">
        <v>186</v>
      </c>
      <c r="B82" s="72">
        <v>4</v>
      </c>
      <c r="C82" s="61">
        <v>3</v>
      </c>
      <c r="D82" s="62">
        <f t="shared" si="21"/>
        <v>0.75</v>
      </c>
      <c r="E82" s="61">
        <v>1</v>
      </c>
      <c r="F82" s="62">
        <f>E82/B82</f>
        <v>0.25</v>
      </c>
      <c r="G82" s="61"/>
      <c r="H82" s="62"/>
      <c r="I82" s="61"/>
      <c r="J82" s="62"/>
      <c r="K82" s="62">
        <f t="shared" si="22"/>
        <v>0</v>
      </c>
      <c r="L82" s="62">
        <f t="shared" si="23"/>
        <v>0.25</v>
      </c>
      <c r="M82" s="63">
        <f t="shared" si="24"/>
        <v>2.25</v>
      </c>
      <c r="N82" s="89">
        <f>118/B82</f>
        <v>29.5</v>
      </c>
    </row>
    <row r="84" spans="1:14" s="75" customFormat="1" ht="15" customHeight="1" x14ac:dyDescent="0.25">
      <c r="A84" s="74" t="s">
        <v>69</v>
      </c>
      <c r="B84" s="66">
        <f>SUM(B85:B88)</f>
        <v>6</v>
      </c>
      <c r="C84" s="66">
        <f>SUM(C85:C88)</f>
        <v>0</v>
      </c>
      <c r="D84" s="58">
        <f>C84/B84</f>
        <v>0</v>
      </c>
      <c r="E84" s="66">
        <f>SUM(E85:E88)</f>
        <v>5</v>
      </c>
      <c r="F84" s="58">
        <f>E84/B84</f>
        <v>0.83333333333333337</v>
      </c>
      <c r="G84" s="66">
        <f>SUM(G85:G88)</f>
        <v>1</v>
      </c>
      <c r="H84" s="58">
        <f>G84/B84</f>
        <v>0.16666666666666666</v>
      </c>
      <c r="I84" s="66">
        <f>SUM(I85:I88)</f>
        <v>0</v>
      </c>
      <c r="J84" s="58">
        <f>I84/B84</f>
        <v>0</v>
      </c>
      <c r="K84" s="58">
        <f>(G84+I84)/B84</f>
        <v>0.16666666666666666</v>
      </c>
      <c r="L84" s="58">
        <f>(E84+G84+I84)/B84</f>
        <v>1</v>
      </c>
      <c r="M84" s="59">
        <f>((E84*3)+(G84*4)+(I84*5)+(C84*2))/B84</f>
        <v>3.1666666666666665</v>
      </c>
      <c r="N84" s="88">
        <f>228/B84</f>
        <v>38</v>
      </c>
    </row>
    <row r="85" spans="1:14" ht="15" customHeight="1" x14ac:dyDescent="0.25">
      <c r="A85" s="65" t="s">
        <v>133</v>
      </c>
      <c r="B85" s="72">
        <v>1</v>
      </c>
      <c r="C85" s="61"/>
      <c r="D85" s="62"/>
      <c r="E85" s="61">
        <v>1</v>
      </c>
      <c r="F85" s="62">
        <f>E85/B85</f>
        <v>1</v>
      </c>
      <c r="G85" s="61"/>
      <c r="H85" s="62"/>
      <c r="I85" s="61"/>
      <c r="J85" s="62"/>
      <c r="K85" s="62">
        <f>(G85+I85)/B85</f>
        <v>0</v>
      </c>
      <c r="L85" s="62">
        <f>(E85+G85+I85)/B85</f>
        <v>1</v>
      </c>
      <c r="M85" s="63">
        <f>((E85*3)+(G85*4)+(I85*5)+(C85*2))/B85</f>
        <v>3</v>
      </c>
      <c r="N85" s="89">
        <f>32/B85</f>
        <v>32</v>
      </c>
    </row>
    <row r="86" spans="1:14" ht="15" customHeight="1" x14ac:dyDescent="0.25">
      <c r="A86" s="65" t="s">
        <v>140</v>
      </c>
      <c r="B86" s="72">
        <v>1</v>
      </c>
      <c r="C86" s="61"/>
      <c r="D86" s="62"/>
      <c r="E86" s="61">
        <v>1</v>
      </c>
      <c r="F86" s="62">
        <f>E86/B86</f>
        <v>1</v>
      </c>
      <c r="G86" s="61"/>
      <c r="H86" s="62"/>
      <c r="I86" s="61"/>
      <c r="J86" s="62"/>
      <c r="K86" s="62">
        <f>(G86+I86)/B86</f>
        <v>0</v>
      </c>
      <c r="L86" s="62">
        <f>(E86+G86+I86)/B86</f>
        <v>1</v>
      </c>
      <c r="M86" s="63">
        <f>((E86*3)+(G86*4)+(I86*5)+(C86*2))/B86</f>
        <v>3</v>
      </c>
      <c r="N86" s="89">
        <f>32/B86</f>
        <v>32</v>
      </c>
    </row>
    <row r="87" spans="1:14" ht="15" customHeight="1" x14ac:dyDescent="0.25">
      <c r="A87" s="65" t="s">
        <v>229</v>
      </c>
      <c r="B87" s="72">
        <v>1</v>
      </c>
      <c r="C87" s="61"/>
      <c r="D87" s="62"/>
      <c r="E87" s="61">
        <v>1</v>
      </c>
      <c r="F87" s="62">
        <f>E87/B87</f>
        <v>1</v>
      </c>
      <c r="G87" s="61"/>
      <c r="H87" s="62"/>
      <c r="I87" s="61"/>
      <c r="J87" s="62"/>
      <c r="K87" s="62">
        <f>(G87+I87)/B87</f>
        <v>0</v>
      </c>
      <c r="L87" s="62">
        <f>(E87+G87+I87)/B87</f>
        <v>1</v>
      </c>
      <c r="M87" s="63">
        <f>((E87*3)+(G87*4)+(I87*5)+(C87*2))/B87</f>
        <v>3</v>
      </c>
      <c r="N87" s="89">
        <f>36/B87</f>
        <v>36</v>
      </c>
    </row>
    <row r="88" spans="1:14" ht="15" customHeight="1" x14ac:dyDescent="0.25">
      <c r="A88" s="65" t="s">
        <v>186</v>
      </c>
      <c r="B88" s="72">
        <v>3</v>
      </c>
      <c r="C88" s="61"/>
      <c r="D88" s="62"/>
      <c r="E88" s="61">
        <v>2</v>
      </c>
      <c r="F88" s="62">
        <f>E88/B88</f>
        <v>0.66666666666666663</v>
      </c>
      <c r="G88" s="61">
        <v>1</v>
      </c>
      <c r="H88" s="62">
        <f>G88/B88</f>
        <v>0.33333333333333331</v>
      </c>
      <c r="I88" s="61"/>
      <c r="J88" s="62"/>
      <c r="K88" s="62">
        <f>(G88+I88)/B88</f>
        <v>0.33333333333333331</v>
      </c>
      <c r="L88" s="62">
        <f>(E88+G88+I88)/B88</f>
        <v>1</v>
      </c>
      <c r="M88" s="63">
        <f>((E88*3)+(G88*4)+(I88*5)+(C88*2))/B88</f>
        <v>3.3333333333333335</v>
      </c>
      <c r="N88" s="89">
        <f>128/B88</f>
        <v>42.666666666666664</v>
      </c>
    </row>
    <row r="89" spans="1:14" ht="15" customHeight="1" x14ac:dyDescent="0.25">
      <c r="A89" s="65"/>
      <c r="B89" s="72"/>
      <c r="C89" s="61"/>
      <c r="D89" s="62"/>
      <c r="E89" s="61"/>
      <c r="F89" s="62"/>
      <c r="G89" s="61"/>
      <c r="H89" s="62"/>
      <c r="I89" s="61"/>
      <c r="J89" s="62"/>
      <c r="K89" s="62"/>
      <c r="L89" s="62"/>
      <c r="M89" s="63"/>
      <c r="N89" s="89"/>
    </row>
    <row r="90" spans="1:14" s="102" customFormat="1" ht="14.25" customHeight="1" x14ac:dyDescent="0.25">
      <c r="A90" s="74" t="s">
        <v>226</v>
      </c>
      <c r="B90" s="66">
        <v>2</v>
      </c>
      <c r="C90" s="57">
        <v>1</v>
      </c>
      <c r="D90" s="58">
        <f>C90/B90</f>
        <v>0.5</v>
      </c>
      <c r="E90" s="57">
        <v>1</v>
      </c>
      <c r="F90" s="58">
        <f>E90/B90</f>
        <v>0.5</v>
      </c>
      <c r="G90" s="57"/>
      <c r="H90" s="58">
        <f>G90/B90</f>
        <v>0</v>
      </c>
      <c r="I90" s="57"/>
      <c r="J90" s="58">
        <f>I90/B90</f>
        <v>0</v>
      </c>
      <c r="K90" s="58">
        <f>(G90+I90)/B90</f>
        <v>0</v>
      </c>
      <c r="L90" s="58">
        <f>(E90+G90+I90)/B90</f>
        <v>0.5</v>
      </c>
      <c r="M90" s="59">
        <f>((E90*3)+(G90*4)+(I90*5)+(C90*2))/B90</f>
        <v>2.5</v>
      </c>
      <c r="N90" s="88">
        <f>80/B90</f>
        <v>40</v>
      </c>
    </row>
    <row r="91" spans="1:14" s="101" customFormat="1" ht="14.25" customHeight="1" x14ac:dyDescent="0.25">
      <c r="A91" s="111" t="s">
        <v>227</v>
      </c>
      <c r="B91" s="72">
        <v>2</v>
      </c>
      <c r="C91" s="61">
        <v>1</v>
      </c>
      <c r="D91" s="62">
        <f>C91/B91</f>
        <v>0.5</v>
      </c>
      <c r="E91" s="61">
        <v>1</v>
      </c>
      <c r="F91" s="62">
        <f>E91/B91</f>
        <v>0.5</v>
      </c>
      <c r="G91" s="61"/>
      <c r="H91" s="62"/>
      <c r="I91" s="61"/>
      <c r="J91" s="62"/>
      <c r="K91" s="62">
        <f>(G91+I91)/B91</f>
        <v>0</v>
      </c>
      <c r="L91" s="62">
        <f>(E91+G91+I91)/B91</f>
        <v>0.5</v>
      </c>
      <c r="M91" s="63">
        <f>((E91*3)+(G91*4)+(I91*5)+(C91*2))/B91</f>
        <v>2.5</v>
      </c>
      <c r="N91" s="89">
        <f>80/B91</f>
        <v>40</v>
      </c>
    </row>
    <row r="93" spans="1:14" s="87" customFormat="1" ht="15.75" customHeight="1" x14ac:dyDescent="0.25">
      <c r="A93" s="74" t="s">
        <v>70</v>
      </c>
      <c r="B93" s="66">
        <f>SUM(B94:B105)</f>
        <v>48</v>
      </c>
      <c r="C93" s="66">
        <f>SUM(C94:C105)</f>
        <v>38</v>
      </c>
      <c r="D93" s="58">
        <f t="shared" ref="D93:D105" si="25">C93/B93</f>
        <v>0.79166666666666663</v>
      </c>
      <c r="E93" s="66">
        <f>SUM(E94:E105)</f>
        <v>10</v>
      </c>
      <c r="F93" s="58">
        <f>E93/B93</f>
        <v>0.20833333333333334</v>
      </c>
      <c r="G93" s="66">
        <f>SUM(G94:G105)</f>
        <v>0</v>
      </c>
      <c r="H93" s="58">
        <f>G93/B93</f>
        <v>0</v>
      </c>
      <c r="I93" s="66">
        <f>SUM(I94:I105)</f>
        <v>0</v>
      </c>
      <c r="J93" s="58">
        <f>I93/B93</f>
        <v>0</v>
      </c>
      <c r="K93" s="58">
        <f t="shared" ref="K93:K105" si="26">(G93+I93)/B93</f>
        <v>0</v>
      </c>
      <c r="L93" s="58">
        <f t="shared" ref="L93:L105" si="27">(E93+G93+I93)/B93</f>
        <v>0.20833333333333334</v>
      </c>
      <c r="M93" s="59">
        <f t="shared" ref="M93:M105" si="28">((E93*3)+(G93*4)+(I93*5)+(C93*2))/B93</f>
        <v>2.2083333333333335</v>
      </c>
      <c r="N93" s="88">
        <f>1433/B93</f>
        <v>29.854166666666668</v>
      </c>
    </row>
    <row r="94" spans="1:14" s="82" customFormat="1" ht="15" customHeight="1" x14ac:dyDescent="0.25">
      <c r="A94" s="76" t="s">
        <v>88</v>
      </c>
      <c r="B94" s="77">
        <v>2</v>
      </c>
      <c r="C94" s="78">
        <v>2</v>
      </c>
      <c r="D94" s="79">
        <f t="shared" si="25"/>
        <v>1</v>
      </c>
      <c r="E94" s="78"/>
      <c r="F94" s="79"/>
      <c r="G94" s="78"/>
      <c r="H94" s="79"/>
      <c r="I94" s="78"/>
      <c r="J94" s="79"/>
      <c r="K94" s="79">
        <f t="shared" si="26"/>
        <v>0</v>
      </c>
      <c r="L94" s="79">
        <f t="shared" si="27"/>
        <v>0</v>
      </c>
      <c r="M94" s="80">
        <f t="shared" si="28"/>
        <v>2</v>
      </c>
      <c r="N94" s="90">
        <f>41/B94</f>
        <v>20.5</v>
      </c>
    </row>
    <row r="95" spans="1:14" s="82" customFormat="1" ht="15" customHeight="1" x14ac:dyDescent="0.25">
      <c r="A95" s="76" t="s">
        <v>97</v>
      </c>
      <c r="B95" s="77">
        <v>5</v>
      </c>
      <c r="C95" s="78">
        <v>3</v>
      </c>
      <c r="D95" s="79">
        <f t="shared" si="25"/>
        <v>0.6</v>
      </c>
      <c r="E95" s="78">
        <v>2</v>
      </c>
      <c r="F95" s="79">
        <f>E95/B95</f>
        <v>0.4</v>
      </c>
      <c r="G95" s="78"/>
      <c r="H95" s="79"/>
      <c r="I95" s="78"/>
      <c r="J95" s="79"/>
      <c r="K95" s="79">
        <f t="shared" si="26"/>
        <v>0</v>
      </c>
      <c r="L95" s="79">
        <f t="shared" si="27"/>
        <v>0.4</v>
      </c>
      <c r="M95" s="80">
        <f t="shared" si="28"/>
        <v>2.4</v>
      </c>
      <c r="N95" s="90">
        <f>160/B95</f>
        <v>32</v>
      </c>
    </row>
    <row r="96" spans="1:14" s="82" customFormat="1" ht="15" customHeight="1" x14ac:dyDescent="0.25">
      <c r="A96" s="76" t="s">
        <v>107</v>
      </c>
      <c r="B96" s="77">
        <v>8</v>
      </c>
      <c r="C96" s="78">
        <v>6</v>
      </c>
      <c r="D96" s="79">
        <f t="shared" si="25"/>
        <v>0.75</v>
      </c>
      <c r="E96" s="78">
        <v>2</v>
      </c>
      <c r="F96" s="79">
        <f>E96/B96</f>
        <v>0.25</v>
      </c>
      <c r="G96" s="78"/>
      <c r="H96" s="79"/>
      <c r="I96" s="78"/>
      <c r="J96" s="79"/>
      <c r="K96" s="79">
        <f t="shared" si="26"/>
        <v>0</v>
      </c>
      <c r="L96" s="79">
        <f t="shared" si="27"/>
        <v>0.25</v>
      </c>
      <c r="M96" s="80">
        <f t="shared" si="28"/>
        <v>2.25</v>
      </c>
      <c r="N96" s="90">
        <f>262/B96</f>
        <v>32.75</v>
      </c>
    </row>
    <row r="97" spans="1:14" s="82" customFormat="1" ht="15" customHeight="1" x14ac:dyDescent="0.25">
      <c r="A97" s="76" t="s">
        <v>129</v>
      </c>
      <c r="B97" s="77">
        <v>5</v>
      </c>
      <c r="C97" s="78">
        <v>4</v>
      </c>
      <c r="D97" s="79">
        <f t="shared" si="25"/>
        <v>0.8</v>
      </c>
      <c r="E97" s="78">
        <v>1</v>
      </c>
      <c r="F97" s="79">
        <f>E97/B97</f>
        <v>0.2</v>
      </c>
      <c r="G97" s="78"/>
      <c r="H97" s="79"/>
      <c r="I97" s="78"/>
      <c r="J97" s="79"/>
      <c r="K97" s="79">
        <f t="shared" si="26"/>
        <v>0</v>
      </c>
      <c r="L97" s="79">
        <f t="shared" si="27"/>
        <v>0.2</v>
      </c>
      <c r="M97" s="80">
        <f t="shared" si="28"/>
        <v>2.2000000000000002</v>
      </c>
      <c r="N97" s="90">
        <f>143/B97</f>
        <v>28.6</v>
      </c>
    </row>
    <row r="98" spans="1:14" s="82" customFormat="1" ht="15" customHeight="1" x14ac:dyDescent="0.25">
      <c r="A98" s="76" t="s">
        <v>133</v>
      </c>
      <c r="B98" s="77">
        <v>3</v>
      </c>
      <c r="C98" s="78">
        <v>2</v>
      </c>
      <c r="D98" s="79">
        <f t="shared" si="25"/>
        <v>0.66666666666666663</v>
      </c>
      <c r="E98" s="78">
        <v>1</v>
      </c>
      <c r="F98" s="79">
        <f>E98/B98</f>
        <v>0.33333333333333331</v>
      </c>
      <c r="G98" s="78"/>
      <c r="H98" s="79"/>
      <c r="I98" s="78"/>
      <c r="J98" s="79"/>
      <c r="K98" s="79">
        <f t="shared" si="26"/>
        <v>0</v>
      </c>
      <c r="L98" s="79">
        <f t="shared" si="27"/>
        <v>0.33333333333333331</v>
      </c>
      <c r="M98" s="80">
        <f t="shared" si="28"/>
        <v>2.3333333333333335</v>
      </c>
      <c r="N98" s="90">
        <f>80/B98</f>
        <v>26.666666666666668</v>
      </c>
    </row>
    <row r="99" spans="1:14" s="82" customFormat="1" ht="15" customHeight="1" x14ac:dyDescent="0.25">
      <c r="A99" s="76" t="s">
        <v>140</v>
      </c>
      <c r="B99" s="77">
        <v>2</v>
      </c>
      <c r="C99" s="78">
        <v>2</v>
      </c>
      <c r="D99" s="79">
        <f t="shared" si="25"/>
        <v>1</v>
      </c>
      <c r="E99" s="78"/>
      <c r="F99" s="79"/>
      <c r="G99" s="78"/>
      <c r="H99" s="79"/>
      <c r="I99" s="78"/>
      <c r="J99" s="79"/>
      <c r="K99" s="79">
        <f t="shared" si="26"/>
        <v>0</v>
      </c>
      <c r="L99" s="79">
        <f t="shared" si="27"/>
        <v>0</v>
      </c>
      <c r="M99" s="80">
        <f t="shared" si="28"/>
        <v>2</v>
      </c>
      <c r="N99" s="90">
        <f>43/B99</f>
        <v>21.5</v>
      </c>
    </row>
    <row r="100" spans="1:14" s="82" customFormat="1" ht="15" customHeight="1" x14ac:dyDescent="0.25">
      <c r="A100" s="76" t="s">
        <v>227</v>
      </c>
      <c r="B100" s="77">
        <v>5</v>
      </c>
      <c r="C100" s="78">
        <v>4</v>
      </c>
      <c r="D100" s="79">
        <f t="shared" si="25"/>
        <v>0.8</v>
      </c>
      <c r="E100" s="78">
        <v>1</v>
      </c>
      <c r="F100" s="79">
        <f>E100/B100</f>
        <v>0.2</v>
      </c>
      <c r="G100" s="78"/>
      <c r="H100" s="79"/>
      <c r="I100" s="78"/>
      <c r="J100" s="79"/>
      <c r="K100" s="79">
        <f t="shared" si="26"/>
        <v>0</v>
      </c>
      <c r="L100" s="79">
        <f t="shared" si="27"/>
        <v>0.2</v>
      </c>
      <c r="M100" s="80">
        <f t="shared" si="28"/>
        <v>2.2000000000000002</v>
      </c>
      <c r="N100" s="90">
        <f>155/B100</f>
        <v>31</v>
      </c>
    </row>
    <row r="101" spans="1:14" s="82" customFormat="1" ht="15" customHeight="1" x14ac:dyDescent="0.25">
      <c r="A101" s="76" t="s">
        <v>146</v>
      </c>
      <c r="B101" s="77">
        <v>2</v>
      </c>
      <c r="C101" s="78">
        <v>2</v>
      </c>
      <c r="D101" s="79">
        <f t="shared" si="25"/>
        <v>1</v>
      </c>
      <c r="E101" s="78"/>
      <c r="F101" s="79"/>
      <c r="G101" s="78"/>
      <c r="H101" s="79"/>
      <c r="I101" s="78"/>
      <c r="J101" s="79"/>
      <c r="K101" s="79">
        <f t="shared" si="26"/>
        <v>0</v>
      </c>
      <c r="L101" s="79">
        <f t="shared" si="27"/>
        <v>0</v>
      </c>
      <c r="M101" s="80">
        <f t="shared" si="28"/>
        <v>2</v>
      </c>
      <c r="N101" s="90">
        <f>56/B101</f>
        <v>28</v>
      </c>
    </row>
    <row r="102" spans="1:14" s="82" customFormat="1" ht="15" customHeight="1" x14ac:dyDescent="0.25">
      <c r="A102" s="76" t="s">
        <v>152</v>
      </c>
      <c r="B102" s="77">
        <v>3</v>
      </c>
      <c r="C102" s="78">
        <v>1</v>
      </c>
      <c r="D102" s="79">
        <f t="shared" si="25"/>
        <v>0.33333333333333331</v>
      </c>
      <c r="E102" s="78">
        <v>2</v>
      </c>
      <c r="F102" s="79">
        <f>E102/B102</f>
        <v>0.66666666666666663</v>
      </c>
      <c r="G102" s="78"/>
      <c r="H102" s="79"/>
      <c r="I102" s="78"/>
      <c r="J102" s="79"/>
      <c r="K102" s="79">
        <f t="shared" si="26"/>
        <v>0</v>
      </c>
      <c r="L102" s="79">
        <f t="shared" si="27"/>
        <v>0.66666666666666663</v>
      </c>
      <c r="M102" s="80">
        <f t="shared" si="28"/>
        <v>2.6666666666666665</v>
      </c>
      <c r="N102" s="90">
        <f>118/B102</f>
        <v>39.333333333333336</v>
      </c>
    </row>
    <row r="103" spans="1:14" s="82" customFormat="1" ht="15" customHeight="1" x14ac:dyDescent="0.25">
      <c r="A103" s="76" t="s">
        <v>229</v>
      </c>
      <c r="B103" s="77">
        <v>5</v>
      </c>
      <c r="C103" s="78">
        <v>5</v>
      </c>
      <c r="D103" s="79">
        <f t="shared" si="25"/>
        <v>1</v>
      </c>
      <c r="E103" s="78"/>
      <c r="F103" s="79"/>
      <c r="G103" s="78"/>
      <c r="H103" s="79"/>
      <c r="I103" s="78"/>
      <c r="J103" s="79"/>
      <c r="K103" s="79">
        <f t="shared" si="26"/>
        <v>0</v>
      </c>
      <c r="L103" s="79">
        <f t="shared" si="27"/>
        <v>0</v>
      </c>
      <c r="M103" s="80">
        <f t="shared" si="28"/>
        <v>2</v>
      </c>
      <c r="N103" s="90">
        <f>107/B103</f>
        <v>21.4</v>
      </c>
    </row>
    <row r="104" spans="1:14" s="82" customFormat="1" ht="15" customHeight="1" x14ac:dyDescent="0.25">
      <c r="A104" s="76" t="s">
        <v>165</v>
      </c>
      <c r="B104" s="77">
        <v>3</v>
      </c>
      <c r="C104" s="78">
        <v>3</v>
      </c>
      <c r="D104" s="79">
        <f t="shared" si="25"/>
        <v>1</v>
      </c>
      <c r="E104" s="78"/>
      <c r="F104" s="79"/>
      <c r="G104" s="78"/>
      <c r="H104" s="79"/>
      <c r="I104" s="78"/>
      <c r="J104" s="79"/>
      <c r="K104" s="79">
        <f t="shared" si="26"/>
        <v>0</v>
      </c>
      <c r="L104" s="79">
        <f t="shared" si="27"/>
        <v>0</v>
      </c>
      <c r="M104" s="80">
        <f t="shared" si="28"/>
        <v>2</v>
      </c>
      <c r="N104" s="90">
        <f>75/B104</f>
        <v>25</v>
      </c>
    </row>
    <row r="105" spans="1:14" s="82" customFormat="1" ht="15" customHeight="1" x14ac:dyDescent="0.25">
      <c r="A105" s="76" t="s">
        <v>186</v>
      </c>
      <c r="B105" s="77">
        <v>5</v>
      </c>
      <c r="C105" s="78">
        <v>4</v>
      </c>
      <c r="D105" s="79">
        <f t="shared" si="25"/>
        <v>0.8</v>
      </c>
      <c r="E105" s="78">
        <v>1</v>
      </c>
      <c r="F105" s="79">
        <f>E105/B105</f>
        <v>0.2</v>
      </c>
      <c r="G105" s="78"/>
      <c r="H105" s="79"/>
      <c r="I105" s="78"/>
      <c r="J105" s="79"/>
      <c r="K105" s="79">
        <f t="shared" si="26"/>
        <v>0</v>
      </c>
      <c r="L105" s="79">
        <f t="shared" si="27"/>
        <v>0.2</v>
      </c>
      <c r="M105" s="80">
        <f t="shared" si="28"/>
        <v>2.2000000000000002</v>
      </c>
      <c r="N105" s="90">
        <f>193/B105</f>
        <v>38.6</v>
      </c>
    </row>
    <row r="107" spans="1:14" s="102" customFormat="1" ht="14.25" customHeight="1" x14ac:dyDescent="0.25">
      <c r="A107" s="74" t="s">
        <v>71</v>
      </c>
      <c r="B107" s="66">
        <v>4</v>
      </c>
      <c r="C107" s="57">
        <v>1</v>
      </c>
      <c r="D107" s="58">
        <f>C107/B107</f>
        <v>0.25</v>
      </c>
      <c r="E107" s="57">
        <v>3</v>
      </c>
      <c r="F107" s="58">
        <f>E107/B107</f>
        <v>0.75</v>
      </c>
      <c r="G107" s="57"/>
      <c r="H107" s="58">
        <f>G107/B107</f>
        <v>0</v>
      </c>
      <c r="I107" s="57"/>
      <c r="J107" s="58">
        <f>I107/B107</f>
        <v>0</v>
      </c>
      <c r="K107" s="58">
        <f>(G107+I107)/B107</f>
        <v>0</v>
      </c>
      <c r="L107" s="58">
        <f>(E107+G107+I107)/B107</f>
        <v>0.75</v>
      </c>
      <c r="M107" s="59">
        <f>((E107*3)+(G107*4)+(I107*5)+(C107*2))/B107</f>
        <v>2.75</v>
      </c>
      <c r="N107" s="88">
        <f>138/B107</f>
        <v>34.5</v>
      </c>
    </row>
    <row r="108" spans="1:14" s="101" customFormat="1" ht="14.25" customHeight="1" x14ac:dyDescent="0.25">
      <c r="A108" s="65" t="s">
        <v>107</v>
      </c>
      <c r="B108" s="72">
        <v>1</v>
      </c>
      <c r="C108" s="61"/>
      <c r="D108" s="62"/>
      <c r="E108" s="61">
        <v>1</v>
      </c>
      <c r="F108" s="62">
        <f>E108/B108</f>
        <v>1</v>
      </c>
      <c r="G108" s="61"/>
      <c r="H108" s="62"/>
      <c r="I108" s="61"/>
      <c r="J108" s="62"/>
      <c r="K108" s="62">
        <f>(G108+I108)/B108</f>
        <v>0</v>
      </c>
      <c r="L108" s="62">
        <f>(E108+G108+I108)/B108</f>
        <v>1</v>
      </c>
      <c r="M108" s="63">
        <f>((E108*3)+(G108*4)+(I108*5)+(C108*2))/B108</f>
        <v>3</v>
      </c>
      <c r="N108" s="89">
        <f>32/B108</f>
        <v>32</v>
      </c>
    </row>
    <row r="109" spans="1:14" s="101" customFormat="1" ht="14.25" customHeight="1" x14ac:dyDescent="0.25">
      <c r="A109" s="65" t="s">
        <v>186</v>
      </c>
      <c r="B109" s="72">
        <v>3</v>
      </c>
      <c r="C109" s="61">
        <v>1</v>
      </c>
      <c r="D109" s="62">
        <f>C109/B109</f>
        <v>0.33333333333333331</v>
      </c>
      <c r="E109" s="61">
        <v>2</v>
      </c>
      <c r="F109" s="62">
        <f>E109/B109</f>
        <v>0.66666666666666663</v>
      </c>
      <c r="G109" s="61"/>
      <c r="H109" s="62"/>
      <c r="I109" s="61"/>
      <c r="J109" s="62"/>
      <c r="K109" s="62">
        <f>(G109+I109)/B109</f>
        <v>0</v>
      </c>
      <c r="L109" s="62">
        <f>(E109+G109+I109)/B109</f>
        <v>0.66666666666666663</v>
      </c>
      <c r="M109" s="63">
        <f>((E109*3)+(G109*4)+(I109*5)+(C109*2))/B109</f>
        <v>2.6666666666666665</v>
      </c>
      <c r="N109" s="89">
        <f>106/B109</f>
        <v>35.333333333333336</v>
      </c>
    </row>
    <row r="111" spans="1:14" s="75" customFormat="1" x14ac:dyDescent="0.25">
      <c r="A111" s="112" t="s">
        <v>232</v>
      </c>
      <c r="B111" s="66">
        <f>SUM(B112:B113)</f>
        <v>2</v>
      </c>
      <c r="C111" s="66">
        <f>SUM(C112:C113)</f>
        <v>1</v>
      </c>
      <c r="D111" s="58">
        <f>C111/B111</f>
        <v>0.5</v>
      </c>
      <c r="E111" s="66">
        <f>SUM(E112:E113)</f>
        <v>1</v>
      </c>
      <c r="F111" s="58">
        <f>E111/B111</f>
        <v>0.5</v>
      </c>
      <c r="G111" s="66">
        <f>SUM(G112:G113)</f>
        <v>0</v>
      </c>
      <c r="H111" s="58">
        <f>G111/B111</f>
        <v>0</v>
      </c>
      <c r="I111" s="66">
        <f>SUM(I112:I113)</f>
        <v>0</v>
      </c>
      <c r="J111" s="58">
        <f>I111/B111</f>
        <v>0</v>
      </c>
      <c r="K111" s="58">
        <f>(G111+I111)/B111</f>
        <v>0</v>
      </c>
      <c r="L111" s="58">
        <f>(E111+G111+I111)/B111</f>
        <v>0.5</v>
      </c>
      <c r="M111" s="59">
        <f>((E111*3)+(G111*4)+(I111*5)+(C111*2))/B111</f>
        <v>2.5</v>
      </c>
      <c r="N111" s="88">
        <f>55/B111</f>
        <v>27.5</v>
      </c>
    </row>
    <row r="112" spans="1:14" s="82" customFormat="1" ht="15" customHeight="1" x14ac:dyDescent="0.25">
      <c r="A112" s="76" t="s">
        <v>97</v>
      </c>
      <c r="B112" s="77">
        <v>1</v>
      </c>
      <c r="C112" s="78">
        <v>1</v>
      </c>
      <c r="D112" s="79">
        <f>C112/B112</f>
        <v>1</v>
      </c>
      <c r="E112" s="78"/>
      <c r="F112" s="79"/>
      <c r="G112" s="78"/>
      <c r="H112" s="79"/>
      <c r="I112" s="78"/>
      <c r="J112" s="79"/>
      <c r="K112" s="79">
        <f>(G112+I112)/B112</f>
        <v>0</v>
      </c>
      <c r="L112" s="79">
        <f>(E112+G112+I112)/B112</f>
        <v>0</v>
      </c>
      <c r="M112" s="80">
        <f>((E112*3)+(G112*4)+(I112*5)+(C112*2))/B112</f>
        <v>2</v>
      </c>
      <c r="N112" s="90">
        <f>13/B112</f>
        <v>13</v>
      </c>
    </row>
    <row r="113" spans="1:14" s="82" customFormat="1" ht="15" customHeight="1" x14ac:dyDescent="0.25">
      <c r="A113" s="76" t="s">
        <v>186</v>
      </c>
      <c r="B113" s="77">
        <v>1</v>
      </c>
      <c r="C113" s="78"/>
      <c r="D113" s="79"/>
      <c r="E113" s="78">
        <v>1</v>
      </c>
      <c r="F113" s="79">
        <f>E113/B113</f>
        <v>1</v>
      </c>
      <c r="G113" s="78"/>
      <c r="H113" s="79"/>
      <c r="I113" s="78"/>
      <c r="J113" s="79"/>
      <c r="K113" s="79">
        <f>(G113+I113)/B113</f>
        <v>0</v>
      </c>
      <c r="L113" s="79">
        <f>(E113+G113+I113)/B113</f>
        <v>1</v>
      </c>
      <c r="M113" s="80">
        <f>((E113*3)+(G113*4)+(I113*5)+(C113*2))/B113</f>
        <v>3</v>
      </c>
      <c r="N113" s="90">
        <f>42/B113</f>
        <v>42</v>
      </c>
    </row>
    <row r="114" spans="1:14" s="82" customFormat="1" ht="15" customHeight="1" x14ac:dyDescent="0.25">
      <c r="A114" s="76"/>
      <c r="B114" s="77"/>
      <c r="C114" s="78"/>
      <c r="D114" s="79"/>
      <c r="E114" s="78"/>
      <c r="F114" s="79"/>
      <c r="G114" s="78"/>
      <c r="H114" s="79"/>
      <c r="I114" s="78"/>
      <c r="J114" s="79"/>
      <c r="K114" s="79"/>
      <c r="L114" s="79"/>
      <c r="M114" s="80"/>
      <c r="N114" s="90"/>
    </row>
    <row r="115" spans="1:14" s="75" customFormat="1" x14ac:dyDescent="0.25">
      <c r="A115" s="112" t="s">
        <v>213</v>
      </c>
      <c r="B115" s="113">
        <f>B111+B46+B66+B70+B93+B9+B53+B84+B36+B23+B107+B90</f>
        <v>311</v>
      </c>
      <c r="C115" s="113">
        <f>C111+C46+C66+C70+C93+C9+C53+C84+C36+C23+C107+C90</f>
        <v>120</v>
      </c>
      <c r="D115" s="58">
        <f>C115/B115</f>
        <v>0.38585209003215432</v>
      </c>
      <c r="E115" s="113">
        <f>E111+E46+E66+E70+E93+E9+E53+E84+E36+E23+E107+E90</f>
        <v>96</v>
      </c>
      <c r="F115" s="58">
        <f>E115/B115</f>
        <v>0.3086816720257235</v>
      </c>
      <c r="G115" s="113">
        <f>G111+G46+G66+G70+G93+G9+G53+G84+G36+G23+G107+G90</f>
        <v>78</v>
      </c>
      <c r="H115" s="58">
        <f>G115/B115</f>
        <v>0.25080385852090031</v>
      </c>
      <c r="I115" s="113">
        <f>I111+I46+I66+I70+I93+I9+I53+I84+I36+I23+I107+I90</f>
        <v>17</v>
      </c>
      <c r="J115" s="58">
        <f>I115/B115</f>
        <v>5.4662379421221867E-2</v>
      </c>
      <c r="K115" s="58">
        <f>(G115+I115)/B115</f>
        <v>0.30546623794212219</v>
      </c>
      <c r="L115" s="58">
        <f>(E115+G115+I115)/B115</f>
        <v>0.61414790996784563</v>
      </c>
      <c r="M115" s="59">
        <f>((E115*3)+(G115*4)+(I115*5)+(C115*2))/B115</f>
        <v>2.9742765273311895</v>
      </c>
      <c r="N115" s="88">
        <f>9004/238</f>
        <v>37.831932773109244</v>
      </c>
    </row>
  </sheetData>
  <mergeCells count="9">
    <mergeCell ref="N6:N7"/>
    <mergeCell ref="A2:N2"/>
    <mergeCell ref="A3:N3"/>
    <mergeCell ref="A6:A7"/>
    <mergeCell ref="B6:B7"/>
    <mergeCell ref="C6:J6"/>
    <mergeCell ref="K6:K7"/>
    <mergeCell ref="L6:L7"/>
    <mergeCell ref="M6:M7"/>
  </mergeCells>
  <pageMargins left="0.31496062992125984" right="0.11811023622047245" top="0.55118110236220474" bottom="0.35433070866141736" header="0.31496062992125984" footer="0.31496062992125984"/>
  <pageSetup paperSize="9" orientation="landscape" verticalDpi="0" r:id="rId1"/>
  <ignoredErrors>
    <ignoredError sqref="D9:N1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B5" sqref="B5"/>
    </sheetView>
  </sheetViews>
  <sheetFormatPr defaultRowHeight="15" x14ac:dyDescent="0.25"/>
  <cols>
    <col min="1" max="1" width="16.5703125" customWidth="1"/>
    <col min="2" max="2" width="21.85546875" customWidth="1"/>
  </cols>
  <sheetData>
    <row r="1" spans="1:12" x14ac:dyDescent="0.25">
      <c r="A1" s="3" t="s">
        <v>31</v>
      </c>
    </row>
    <row r="3" spans="1:12" x14ac:dyDescent="0.25">
      <c r="A3" s="175" t="s">
        <v>0</v>
      </c>
      <c r="B3" s="175" t="s">
        <v>27</v>
      </c>
      <c r="C3" s="175" t="s">
        <v>28</v>
      </c>
      <c r="D3" s="175" t="s">
        <v>29</v>
      </c>
      <c r="E3" s="174" t="s">
        <v>3</v>
      </c>
      <c r="F3" s="174"/>
      <c r="G3" s="174" t="s">
        <v>4</v>
      </c>
      <c r="H3" s="174"/>
      <c r="I3" s="174" t="s">
        <v>5</v>
      </c>
      <c r="J3" s="174"/>
      <c r="K3" s="174" t="s">
        <v>6</v>
      </c>
      <c r="L3" s="174"/>
    </row>
    <row r="4" spans="1:12" x14ac:dyDescent="0.25">
      <c r="A4" s="176"/>
      <c r="B4" s="176"/>
      <c r="C4" s="176"/>
      <c r="D4" s="176"/>
      <c r="E4" s="5" t="s">
        <v>9</v>
      </c>
      <c r="F4" s="6" t="s">
        <v>10</v>
      </c>
      <c r="G4" s="5" t="s">
        <v>9</v>
      </c>
      <c r="H4" s="6" t="s">
        <v>10</v>
      </c>
      <c r="I4" s="5" t="s">
        <v>9</v>
      </c>
      <c r="J4" s="6" t="s">
        <v>10</v>
      </c>
      <c r="K4" s="5" t="s">
        <v>9</v>
      </c>
      <c r="L4" s="6" t="s">
        <v>10</v>
      </c>
    </row>
    <row r="5" spans="1:12" x14ac:dyDescent="0.25">
      <c r="A5" t="s">
        <v>11</v>
      </c>
      <c r="B5" t="s">
        <v>30</v>
      </c>
      <c r="C5" s="7">
        <v>139</v>
      </c>
      <c r="D5" s="7">
        <v>0</v>
      </c>
      <c r="E5" s="7">
        <v>4</v>
      </c>
      <c r="F5" s="7">
        <v>2.88</v>
      </c>
      <c r="G5" s="7">
        <v>90</v>
      </c>
      <c r="H5" s="7">
        <v>64.75</v>
      </c>
      <c r="I5" s="7">
        <v>31</v>
      </c>
      <c r="J5" s="7">
        <v>22.3</v>
      </c>
      <c r="K5" s="7">
        <v>14</v>
      </c>
      <c r="L5" s="7">
        <v>10.07</v>
      </c>
    </row>
    <row r="6" spans="1:12" x14ac:dyDescent="0.25">
      <c r="A6" t="s">
        <v>26</v>
      </c>
      <c r="B6" t="s">
        <v>30</v>
      </c>
      <c r="C6" s="7">
        <v>138</v>
      </c>
      <c r="D6" s="7">
        <v>0</v>
      </c>
      <c r="E6" s="7">
        <v>3</v>
      </c>
      <c r="F6" s="7">
        <v>2.17</v>
      </c>
      <c r="G6" s="7">
        <v>57</v>
      </c>
      <c r="H6" s="7">
        <v>41.3</v>
      </c>
      <c r="I6" s="7">
        <v>77</v>
      </c>
      <c r="J6" s="7">
        <v>55.8</v>
      </c>
      <c r="K6" s="7">
        <v>1</v>
      </c>
      <c r="L6" s="7">
        <v>0.72</v>
      </c>
    </row>
  </sheetData>
  <mergeCells count="8">
    <mergeCell ref="I3:J3"/>
    <mergeCell ref="K3:L3"/>
    <mergeCell ref="A3:A4"/>
    <mergeCell ref="B3:B4"/>
    <mergeCell ref="C3:C4"/>
    <mergeCell ref="D3:D4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R8" sqref="R8"/>
    </sheetView>
  </sheetViews>
  <sheetFormatPr defaultRowHeight="15" x14ac:dyDescent="0.25"/>
  <cols>
    <col min="1" max="1" width="16" customWidth="1"/>
    <col min="2" max="2" width="37" customWidth="1"/>
    <col min="3" max="3" width="10.85546875" customWidth="1"/>
  </cols>
  <sheetData>
    <row r="1" spans="1:15" x14ac:dyDescent="0.25">
      <c r="A1" s="3" t="s">
        <v>50</v>
      </c>
    </row>
    <row r="3" spans="1:15" ht="30.75" customHeight="1" x14ac:dyDescent="0.25">
      <c r="A3" s="175" t="s">
        <v>0</v>
      </c>
      <c r="B3" s="175" t="s">
        <v>1</v>
      </c>
      <c r="C3" s="175" t="s">
        <v>2</v>
      </c>
      <c r="D3" s="174" t="s">
        <v>3</v>
      </c>
      <c r="E3" s="174"/>
      <c r="F3" s="174" t="s">
        <v>4</v>
      </c>
      <c r="G3" s="174"/>
      <c r="H3" s="174" t="s">
        <v>5</v>
      </c>
      <c r="I3" s="174"/>
      <c r="J3" s="174" t="s">
        <v>6</v>
      </c>
      <c r="K3" s="174"/>
      <c r="L3" s="174" t="s">
        <v>7</v>
      </c>
      <c r="M3" s="174"/>
      <c r="N3" s="174" t="s">
        <v>8</v>
      </c>
      <c r="O3" s="174"/>
    </row>
    <row r="4" spans="1:15" x14ac:dyDescent="0.25">
      <c r="A4" s="176"/>
      <c r="B4" s="176"/>
      <c r="C4" s="176"/>
      <c r="D4" s="1" t="s">
        <v>9</v>
      </c>
      <c r="E4" s="2" t="s">
        <v>10</v>
      </c>
      <c r="F4" s="1" t="s">
        <v>9</v>
      </c>
      <c r="G4" s="2" t="s">
        <v>10</v>
      </c>
      <c r="H4" s="1" t="s">
        <v>9</v>
      </c>
      <c r="I4" s="2" t="s">
        <v>10</v>
      </c>
      <c r="J4" s="1" t="s">
        <v>9</v>
      </c>
      <c r="K4" s="2" t="s">
        <v>10</v>
      </c>
      <c r="L4" s="1" t="s">
        <v>9</v>
      </c>
      <c r="M4" s="1" t="s">
        <v>10</v>
      </c>
      <c r="N4" s="1" t="s">
        <v>9</v>
      </c>
      <c r="O4" s="1" t="s">
        <v>10</v>
      </c>
    </row>
    <row r="5" spans="1:15" x14ac:dyDescent="0.25">
      <c r="A5" t="s">
        <v>11</v>
      </c>
      <c r="B5" t="s">
        <v>12</v>
      </c>
      <c r="C5" s="4">
        <v>6</v>
      </c>
      <c r="D5" s="4">
        <v>0</v>
      </c>
      <c r="E5" s="4">
        <v>0</v>
      </c>
      <c r="F5" s="4">
        <v>4</v>
      </c>
      <c r="G5" s="4">
        <v>66.67</v>
      </c>
      <c r="H5" s="4">
        <v>0</v>
      </c>
      <c r="I5" s="4">
        <v>0</v>
      </c>
      <c r="J5" s="4">
        <v>2</v>
      </c>
      <c r="K5" s="4">
        <v>33.33</v>
      </c>
      <c r="L5" s="4">
        <v>2</v>
      </c>
      <c r="M5" s="4">
        <v>33.33</v>
      </c>
      <c r="N5" s="4">
        <v>6</v>
      </c>
      <c r="O5" s="4">
        <v>100</v>
      </c>
    </row>
    <row r="6" spans="1:15" x14ac:dyDescent="0.25">
      <c r="A6" t="s">
        <v>11</v>
      </c>
      <c r="B6" t="s">
        <v>13</v>
      </c>
      <c r="C6" s="4">
        <v>7</v>
      </c>
      <c r="D6" s="4">
        <v>0</v>
      </c>
      <c r="E6" s="4">
        <v>0</v>
      </c>
      <c r="F6" s="4">
        <v>4</v>
      </c>
      <c r="G6" s="4">
        <v>57.14</v>
      </c>
      <c r="H6" s="4">
        <v>2</v>
      </c>
      <c r="I6" s="4">
        <v>28.57</v>
      </c>
      <c r="J6" s="4">
        <v>1</v>
      </c>
      <c r="K6" s="4">
        <v>14.29</v>
      </c>
      <c r="L6" s="4">
        <v>3</v>
      </c>
      <c r="M6" s="4">
        <v>42.86</v>
      </c>
      <c r="N6" s="4">
        <v>7</v>
      </c>
      <c r="O6" s="4">
        <v>100</v>
      </c>
    </row>
    <row r="7" spans="1:15" x14ac:dyDescent="0.25">
      <c r="A7" t="s">
        <v>11</v>
      </c>
      <c r="B7" t="s">
        <v>14</v>
      </c>
      <c r="C7" s="4">
        <v>15</v>
      </c>
      <c r="D7" s="4">
        <v>0</v>
      </c>
      <c r="E7" s="4">
        <v>0</v>
      </c>
      <c r="F7" s="4">
        <v>9</v>
      </c>
      <c r="G7" s="4">
        <v>60</v>
      </c>
      <c r="H7" s="4">
        <v>3</v>
      </c>
      <c r="I7" s="4">
        <v>20</v>
      </c>
      <c r="J7" s="4">
        <v>3</v>
      </c>
      <c r="K7" s="4">
        <v>20</v>
      </c>
      <c r="L7" s="4">
        <v>6</v>
      </c>
      <c r="M7" s="4">
        <v>40</v>
      </c>
      <c r="N7" s="4">
        <v>15</v>
      </c>
      <c r="O7" s="4">
        <v>100</v>
      </c>
    </row>
    <row r="8" spans="1:15" x14ac:dyDescent="0.25">
      <c r="A8" t="s">
        <v>11</v>
      </c>
      <c r="B8" t="s">
        <v>15</v>
      </c>
      <c r="C8" s="4">
        <v>34</v>
      </c>
      <c r="D8" s="4">
        <v>0</v>
      </c>
      <c r="E8" s="4">
        <v>0</v>
      </c>
      <c r="F8" s="4">
        <v>27</v>
      </c>
      <c r="G8" s="4">
        <v>79.41</v>
      </c>
      <c r="H8" s="4">
        <v>5</v>
      </c>
      <c r="I8" s="4">
        <v>14.71</v>
      </c>
      <c r="J8" s="4">
        <v>2</v>
      </c>
      <c r="K8" s="4">
        <v>5.88</v>
      </c>
      <c r="L8" s="4">
        <v>7</v>
      </c>
      <c r="M8" s="4">
        <v>20.59</v>
      </c>
      <c r="N8" s="4">
        <v>34</v>
      </c>
      <c r="O8" s="4">
        <v>100</v>
      </c>
    </row>
    <row r="9" spans="1:15" x14ac:dyDescent="0.25">
      <c r="A9" t="s">
        <v>11</v>
      </c>
      <c r="B9" t="s">
        <v>16</v>
      </c>
      <c r="C9" s="4">
        <v>8</v>
      </c>
      <c r="D9" s="4">
        <v>0</v>
      </c>
      <c r="E9" s="4">
        <v>0</v>
      </c>
      <c r="F9" s="4">
        <v>1</v>
      </c>
      <c r="G9" s="4">
        <v>12.5</v>
      </c>
      <c r="H9" s="4">
        <v>5</v>
      </c>
      <c r="I9" s="4">
        <v>62.5</v>
      </c>
      <c r="J9" s="4">
        <v>2</v>
      </c>
      <c r="K9" s="4">
        <v>25</v>
      </c>
      <c r="L9" s="4">
        <v>7</v>
      </c>
      <c r="M9" s="4">
        <v>87.5</v>
      </c>
      <c r="N9" s="4">
        <v>8</v>
      </c>
      <c r="O9" s="4">
        <v>100</v>
      </c>
    </row>
    <row r="10" spans="1:15" x14ac:dyDescent="0.25">
      <c r="A10" t="s">
        <v>11</v>
      </c>
      <c r="B10" t="s">
        <v>17</v>
      </c>
      <c r="C10" s="4">
        <v>20</v>
      </c>
      <c r="D10" s="4">
        <v>1</v>
      </c>
      <c r="E10" s="4">
        <v>5</v>
      </c>
      <c r="F10" s="4">
        <v>12</v>
      </c>
      <c r="G10" s="4">
        <v>60</v>
      </c>
      <c r="H10" s="4">
        <v>7</v>
      </c>
      <c r="I10" s="4">
        <v>35</v>
      </c>
      <c r="J10" s="4">
        <v>0</v>
      </c>
      <c r="K10" s="4">
        <v>0</v>
      </c>
      <c r="L10" s="4">
        <v>7</v>
      </c>
      <c r="M10" s="4">
        <v>35</v>
      </c>
      <c r="N10" s="4">
        <v>19</v>
      </c>
      <c r="O10" s="4">
        <v>95</v>
      </c>
    </row>
    <row r="11" spans="1:15" x14ac:dyDescent="0.25">
      <c r="A11" t="s">
        <v>11</v>
      </c>
      <c r="B11" t="s">
        <v>18</v>
      </c>
      <c r="C11" s="4">
        <v>10</v>
      </c>
      <c r="D11" s="4">
        <v>0</v>
      </c>
      <c r="E11" s="4">
        <v>0</v>
      </c>
      <c r="F11" s="4">
        <v>9</v>
      </c>
      <c r="G11" s="4">
        <v>90</v>
      </c>
      <c r="H11" s="4">
        <v>1</v>
      </c>
      <c r="I11" s="4">
        <v>10</v>
      </c>
      <c r="J11" s="4">
        <v>0</v>
      </c>
      <c r="K11" s="4">
        <v>0</v>
      </c>
      <c r="L11" s="4">
        <v>1</v>
      </c>
      <c r="M11" s="4">
        <v>10</v>
      </c>
      <c r="N11" s="4">
        <v>10</v>
      </c>
      <c r="O11" s="4">
        <v>100</v>
      </c>
    </row>
    <row r="12" spans="1:15" x14ac:dyDescent="0.25">
      <c r="A12" t="s">
        <v>11</v>
      </c>
      <c r="B12" t="s">
        <v>19</v>
      </c>
      <c r="C12" s="4">
        <v>7</v>
      </c>
      <c r="D12" s="4">
        <v>1</v>
      </c>
      <c r="E12" s="4">
        <v>14.29</v>
      </c>
      <c r="F12" s="4">
        <v>3</v>
      </c>
      <c r="G12" s="4">
        <v>42.86</v>
      </c>
      <c r="H12" s="4">
        <v>2</v>
      </c>
      <c r="I12" s="4">
        <v>28.57</v>
      </c>
      <c r="J12" s="4">
        <v>1</v>
      </c>
      <c r="K12" s="4">
        <v>14.29</v>
      </c>
      <c r="L12" s="4">
        <v>3</v>
      </c>
      <c r="M12" s="4">
        <v>42.86</v>
      </c>
      <c r="N12" s="4">
        <v>6</v>
      </c>
      <c r="O12" s="4">
        <v>85.71</v>
      </c>
    </row>
    <row r="13" spans="1:15" x14ac:dyDescent="0.25">
      <c r="A13" t="s">
        <v>11</v>
      </c>
      <c r="B13" t="s">
        <v>20</v>
      </c>
      <c r="C13" s="4">
        <v>3</v>
      </c>
      <c r="D13" s="4">
        <v>1</v>
      </c>
      <c r="E13" s="4">
        <v>33.33</v>
      </c>
      <c r="F13" s="4">
        <v>2</v>
      </c>
      <c r="G13" s="4">
        <v>66.67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2</v>
      </c>
      <c r="O13" s="4">
        <v>66.67</v>
      </c>
    </row>
    <row r="14" spans="1:15" x14ac:dyDescent="0.25">
      <c r="A14" t="s">
        <v>11</v>
      </c>
      <c r="B14" t="s">
        <v>21</v>
      </c>
      <c r="C14" s="4">
        <v>3</v>
      </c>
      <c r="D14" s="4">
        <v>0</v>
      </c>
      <c r="E14" s="4">
        <v>0</v>
      </c>
      <c r="F14" s="4">
        <v>1</v>
      </c>
      <c r="G14" s="4">
        <v>33.33</v>
      </c>
      <c r="H14" s="4">
        <v>1</v>
      </c>
      <c r="I14" s="4">
        <v>33.33</v>
      </c>
      <c r="J14" s="4">
        <v>1</v>
      </c>
      <c r="K14" s="4">
        <v>33.33</v>
      </c>
      <c r="L14" s="4">
        <v>2</v>
      </c>
      <c r="M14" s="4">
        <v>66.67</v>
      </c>
      <c r="N14" s="4">
        <v>3</v>
      </c>
      <c r="O14" s="4">
        <v>100</v>
      </c>
    </row>
    <row r="15" spans="1:15" x14ac:dyDescent="0.25">
      <c r="A15" t="s">
        <v>11</v>
      </c>
      <c r="B15" t="s">
        <v>22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1</v>
      </c>
      <c r="I15" s="4">
        <v>100</v>
      </c>
      <c r="J15" s="4">
        <v>0</v>
      </c>
      <c r="K15" s="4">
        <v>0</v>
      </c>
      <c r="L15" s="4">
        <v>1</v>
      </c>
      <c r="M15" s="4">
        <v>100</v>
      </c>
      <c r="N15" s="4">
        <v>1</v>
      </c>
      <c r="O15" s="4">
        <v>100</v>
      </c>
    </row>
    <row r="16" spans="1:15" x14ac:dyDescent="0.25">
      <c r="A16" t="s">
        <v>11</v>
      </c>
      <c r="B16" t="s">
        <v>23</v>
      </c>
      <c r="C16" s="4">
        <v>11</v>
      </c>
      <c r="D16" s="4">
        <v>1</v>
      </c>
      <c r="E16" s="4">
        <v>9.09</v>
      </c>
      <c r="F16" s="4">
        <v>8</v>
      </c>
      <c r="G16" s="4">
        <v>72.73</v>
      </c>
      <c r="H16" s="4">
        <v>2</v>
      </c>
      <c r="I16" s="4">
        <v>18.18</v>
      </c>
      <c r="J16" s="4">
        <v>0</v>
      </c>
      <c r="K16" s="4">
        <v>0</v>
      </c>
      <c r="L16" s="4">
        <v>2</v>
      </c>
      <c r="M16" s="4">
        <v>18.18</v>
      </c>
      <c r="N16" s="4">
        <v>10</v>
      </c>
      <c r="O16" s="4">
        <v>90.91</v>
      </c>
    </row>
    <row r="17" spans="1:15" x14ac:dyDescent="0.25">
      <c r="A17" t="s">
        <v>11</v>
      </c>
      <c r="B17" t="s">
        <v>24</v>
      </c>
      <c r="C17" s="4">
        <v>8</v>
      </c>
      <c r="D17" s="4">
        <v>0</v>
      </c>
      <c r="E17" s="4">
        <v>0</v>
      </c>
      <c r="F17" s="4">
        <v>7</v>
      </c>
      <c r="G17" s="4">
        <v>87.5</v>
      </c>
      <c r="H17" s="4">
        <v>1</v>
      </c>
      <c r="I17" s="4">
        <v>12.5</v>
      </c>
      <c r="J17" s="4">
        <v>0</v>
      </c>
      <c r="K17" s="4">
        <v>0</v>
      </c>
      <c r="L17" s="4">
        <v>1</v>
      </c>
      <c r="M17" s="4">
        <v>12.5</v>
      </c>
      <c r="N17" s="4">
        <v>8</v>
      </c>
      <c r="O17" s="4">
        <v>100</v>
      </c>
    </row>
    <row r="18" spans="1:15" x14ac:dyDescent="0.25">
      <c r="A18" t="s">
        <v>11</v>
      </c>
      <c r="B18" t="s">
        <v>25</v>
      </c>
      <c r="C18" s="4">
        <v>6</v>
      </c>
      <c r="D18" s="4">
        <v>0</v>
      </c>
      <c r="E18" s="4">
        <v>0</v>
      </c>
      <c r="F18" s="4">
        <v>3</v>
      </c>
      <c r="G18" s="4">
        <v>50</v>
      </c>
      <c r="H18" s="4">
        <v>1</v>
      </c>
      <c r="I18" s="4">
        <v>16.670000000000002</v>
      </c>
      <c r="J18" s="4">
        <v>2</v>
      </c>
      <c r="K18" s="4">
        <v>33.33</v>
      </c>
      <c r="L18" s="4">
        <v>3</v>
      </c>
      <c r="M18" s="4">
        <v>50</v>
      </c>
      <c r="N18" s="4">
        <v>6</v>
      </c>
      <c r="O18" s="4">
        <v>100</v>
      </c>
    </row>
    <row r="19" spans="1:15" x14ac:dyDescent="0.25">
      <c r="A19" t="s">
        <v>26</v>
      </c>
      <c r="B19" t="s">
        <v>12</v>
      </c>
      <c r="C19" s="4">
        <v>6</v>
      </c>
      <c r="D19" s="4">
        <v>0</v>
      </c>
      <c r="E19" s="4">
        <v>0</v>
      </c>
      <c r="F19" s="4">
        <v>1</v>
      </c>
      <c r="G19" s="4">
        <v>16.670000000000002</v>
      </c>
      <c r="H19" s="4">
        <v>5</v>
      </c>
      <c r="I19" s="4">
        <v>83.33</v>
      </c>
      <c r="J19" s="4">
        <v>0</v>
      </c>
      <c r="K19" s="4">
        <v>0</v>
      </c>
      <c r="L19" s="4">
        <v>5</v>
      </c>
      <c r="M19" s="4">
        <v>83.33</v>
      </c>
      <c r="N19" s="4">
        <v>6</v>
      </c>
      <c r="O19" s="4">
        <v>100</v>
      </c>
    </row>
    <row r="20" spans="1:15" x14ac:dyDescent="0.25">
      <c r="A20" t="s">
        <v>26</v>
      </c>
      <c r="B20" t="s">
        <v>13</v>
      </c>
      <c r="C20" s="4">
        <v>7</v>
      </c>
      <c r="D20" s="4">
        <v>1</v>
      </c>
      <c r="E20" s="4">
        <v>14.29</v>
      </c>
      <c r="F20" s="4">
        <v>1</v>
      </c>
      <c r="G20" s="4">
        <v>14.29</v>
      </c>
      <c r="H20" s="4">
        <v>4</v>
      </c>
      <c r="I20" s="4">
        <v>57.14</v>
      </c>
      <c r="J20" s="4">
        <v>1</v>
      </c>
      <c r="K20" s="4">
        <v>14.29</v>
      </c>
      <c r="L20" s="4">
        <v>5</v>
      </c>
      <c r="M20" s="4">
        <v>71.430000000000007</v>
      </c>
      <c r="N20" s="4">
        <v>6</v>
      </c>
      <c r="O20" s="4">
        <v>85.71</v>
      </c>
    </row>
    <row r="21" spans="1:15" x14ac:dyDescent="0.25">
      <c r="A21" t="s">
        <v>26</v>
      </c>
      <c r="B21" t="s">
        <v>14</v>
      </c>
      <c r="C21" s="4">
        <v>15</v>
      </c>
      <c r="D21" s="4">
        <v>0</v>
      </c>
      <c r="E21" s="4">
        <v>0</v>
      </c>
      <c r="F21" s="4">
        <v>6</v>
      </c>
      <c r="G21" s="4">
        <v>40</v>
      </c>
      <c r="H21" s="4">
        <v>9</v>
      </c>
      <c r="I21" s="4">
        <v>60</v>
      </c>
      <c r="J21" s="4">
        <v>0</v>
      </c>
      <c r="K21" s="4">
        <v>0</v>
      </c>
      <c r="L21" s="4">
        <v>9</v>
      </c>
      <c r="M21" s="4">
        <v>60</v>
      </c>
      <c r="N21" s="4">
        <v>15</v>
      </c>
      <c r="O21" s="4">
        <v>100</v>
      </c>
    </row>
    <row r="22" spans="1:15" x14ac:dyDescent="0.25">
      <c r="A22" t="s">
        <v>26</v>
      </c>
      <c r="B22" t="s">
        <v>15</v>
      </c>
      <c r="C22" s="4">
        <v>34</v>
      </c>
      <c r="D22" s="4">
        <v>1</v>
      </c>
      <c r="E22" s="4">
        <v>2.94</v>
      </c>
      <c r="F22" s="4">
        <v>13</v>
      </c>
      <c r="G22" s="4">
        <v>38.24</v>
      </c>
      <c r="H22" s="4">
        <v>20</v>
      </c>
      <c r="I22" s="4">
        <v>58.82</v>
      </c>
      <c r="J22" s="4">
        <v>0</v>
      </c>
      <c r="K22" s="4">
        <v>0</v>
      </c>
      <c r="L22" s="4">
        <v>20</v>
      </c>
      <c r="M22" s="4">
        <v>58.82</v>
      </c>
      <c r="N22" s="4">
        <v>33</v>
      </c>
      <c r="O22" s="4">
        <v>97.06</v>
      </c>
    </row>
    <row r="23" spans="1:15" x14ac:dyDescent="0.25">
      <c r="A23" t="s">
        <v>26</v>
      </c>
      <c r="B23" t="s">
        <v>16</v>
      </c>
      <c r="C23" s="4">
        <v>8</v>
      </c>
      <c r="D23" s="4">
        <v>0</v>
      </c>
      <c r="E23" s="4">
        <v>0</v>
      </c>
      <c r="F23" s="4">
        <v>4</v>
      </c>
      <c r="G23" s="4">
        <v>50</v>
      </c>
      <c r="H23" s="4">
        <v>4</v>
      </c>
      <c r="I23" s="4">
        <v>50</v>
      </c>
      <c r="J23" s="4">
        <v>0</v>
      </c>
      <c r="K23" s="4">
        <v>0</v>
      </c>
      <c r="L23" s="4">
        <v>4</v>
      </c>
      <c r="M23" s="4">
        <v>50</v>
      </c>
      <c r="N23" s="4">
        <v>8</v>
      </c>
      <c r="O23" s="4">
        <v>100</v>
      </c>
    </row>
    <row r="24" spans="1:15" x14ac:dyDescent="0.25">
      <c r="A24" t="s">
        <v>26</v>
      </c>
      <c r="B24" t="s">
        <v>17</v>
      </c>
      <c r="C24" s="4">
        <v>20</v>
      </c>
      <c r="D24" s="4">
        <v>0</v>
      </c>
      <c r="E24" s="4">
        <v>0</v>
      </c>
      <c r="F24" s="4">
        <v>7</v>
      </c>
      <c r="G24" s="4">
        <v>35</v>
      </c>
      <c r="H24" s="4">
        <v>13</v>
      </c>
      <c r="I24" s="4">
        <v>65</v>
      </c>
      <c r="J24" s="4">
        <v>0</v>
      </c>
      <c r="K24" s="4">
        <v>0</v>
      </c>
      <c r="L24" s="4">
        <v>13</v>
      </c>
      <c r="M24" s="4">
        <v>65</v>
      </c>
      <c r="N24" s="4">
        <v>20</v>
      </c>
      <c r="O24" s="4">
        <v>100</v>
      </c>
    </row>
    <row r="25" spans="1:15" x14ac:dyDescent="0.25">
      <c r="A25" t="s">
        <v>26</v>
      </c>
      <c r="B25" t="s">
        <v>18</v>
      </c>
      <c r="C25" s="4">
        <v>10</v>
      </c>
      <c r="D25" s="4">
        <v>1</v>
      </c>
      <c r="E25" s="4">
        <v>10</v>
      </c>
      <c r="F25" s="4">
        <v>4</v>
      </c>
      <c r="G25" s="4">
        <v>40</v>
      </c>
      <c r="H25" s="4">
        <v>5</v>
      </c>
      <c r="I25" s="4">
        <v>50</v>
      </c>
      <c r="J25" s="4">
        <v>0</v>
      </c>
      <c r="K25" s="4">
        <v>0</v>
      </c>
      <c r="L25" s="4">
        <v>5</v>
      </c>
      <c r="M25" s="4">
        <v>50</v>
      </c>
      <c r="N25" s="4">
        <v>9</v>
      </c>
      <c r="O25" s="4">
        <v>90</v>
      </c>
    </row>
    <row r="26" spans="1:15" x14ac:dyDescent="0.25">
      <c r="A26" t="s">
        <v>26</v>
      </c>
      <c r="B26" t="s">
        <v>19</v>
      </c>
      <c r="C26" s="4">
        <v>6</v>
      </c>
      <c r="D26" s="4">
        <v>0</v>
      </c>
      <c r="E26" s="4">
        <v>0</v>
      </c>
      <c r="F26" s="4">
        <v>2</v>
      </c>
      <c r="G26" s="4">
        <v>33.33</v>
      </c>
      <c r="H26" s="4">
        <v>4</v>
      </c>
      <c r="I26" s="4">
        <v>66.67</v>
      </c>
      <c r="J26" s="4">
        <v>0</v>
      </c>
      <c r="K26" s="4">
        <v>0</v>
      </c>
      <c r="L26" s="4">
        <v>4</v>
      </c>
      <c r="M26" s="4">
        <v>66.67</v>
      </c>
      <c r="N26" s="4">
        <v>6</v>
      </c>
      <c r="O26" s="4">
        <v>100</v>
      </c>
    </row>
    <row r="27" spans="1:15" x14ac:dyDescent="0.25">
      <c r="A27" t="s">
        <v>26</v>
      </c>
      <c r="B27" t="s">
        <v>20</v>
      </c>
      <c r="C27" s="4">
        <v>3</v>
      </c>
      <c r="D27" s="4">
        <v>0</v>
      </c>
      <c r="E27" s="4">
        <v>0</v>
      </c>
      <c r="F27" s="4">
        <v>3</v>
      </c>
      <c r="G27" s="4">
        <v>100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3</v>
      </c>
      <c r="O27" s="4">
        <v>100</v>
      </c>
    </row>
    <row r="28" spans="1:15" x14ac:dyDescent="0.25">
      <c r="A28" t="s">
        <v>26</v>
      </c>
      <c r="B28" t="s">
        <v>21</v>
      </c>
      <c r="C28" s="4">
        <v>3</v>
      </c>
      <c r="D28" s="4">
        <v>0</v>
      </c>
      <c r="E28" s="4">
        <v>0</v>
      </c>
      <c r="F28" s="4">
        <v>2</v>
      </c>
      <c r="G28" s="4">
        <v>66.67</v>
      </c>
      <c r="H28" s="4">
        <v>1</v>
      </c>
      <c r="I28" s="4">
        <v>33.33</v>
      </c>
      <c r="J28" s="4">
        <v>0</v>
      </c>
      <c r="K28" s="4">
        <v>0</v>
      </c>
      <c r="L28" s="4">
        <v>1</v>
      </c>
      <c r="M28" s="4">
        <v>33.33</v>
      </c>
      <c r="N28" s="4">
        <v>3</v>
      </c>
      <c r="O28" s="4">
        <v>100</v>
      </c>
    </row>
    <row r="29" spans="1:15" x14ac:dyDescent="0.25">
      <c r="A29" t="s">
        <v>26</v>
      </c>
      <c r="B29" t="s">
        <v>22</v>
      </c>
      <c r="C29" s="4">
        <v>1</v>
      </c>
      <c r="D29" s="4">
        <v>0</v>
      </c>
      <c r="E29" s="4">
        <v>0</v>
      </c>
      <c r="F29" s="4">
        <v>0</v>
      </c>
      <c r="G29" s="4">
        <v>0</v>
      </c>
      <c r="H29" s="4">
        <v>1</v>
      </c>
      <c r="I29" s="4">
        <v>100</v>
      </c>
      <c r="J29" s="4">
        <v>0</v>
      </c>
      <c r="K29" s="4">
        <v>0</v>
      </c>
      <c r="L29" s="4">
        <v>1</v>
      </c>
      <c r="M29" s="4">
        <v>100</v>
      </c>
      <c r="N29" s="4">
        <v>1</v>
      </c>
      <c r="O29" s="4">
        <v>100</v>
      </c>
    </row>
    <row r="30" spans="1:15" x14ac:dyDescent="0.25">
      <c r="A30" t="s">
        <v>26</v>
      </c>
      <c r="B30" t="s">
        <v>23</v>
      </c>
      <c r="C30" s="4">
        <v>11</v>
      </c>
      <c r="D30" s="4">
        <v>0</v>
      </c>
      <c r="E30" s="4">
        <v>0</v>
      </c>
      <c r="F30" s="4">
        <v>7</v>
      </c>
      <c r="G30" s="4">
        <v>63.64</v>
      </c>
      <c r="H30" s="4">
        <v>4</v>
      </c>
      <c r="I30" s="4">
        <v>36.36</v>
      </c>
      <c r="J30" s="4">
        <v>0</v>
      </c>
      <c r="K30" s="4">
        <v>0</v>
      </c>
      <c r="L30" s="4">
        <v>4</v>
      </c>
      <c r="M30" s="4">
        <v>36.36</v>
      </c>
      <c r="N30" s="4">
        <v>11</v>
      </c>
      <c r="O30" s="4">
        <v>100</v>
      </c>
    </row>
    <row r="31" spans="1:15" x14ac:dyDescent="0.25">
      <c r="A31" t="s">
        <v>26</v>
      </c>
      <c r="B31" t="s">
        <v>24</v>
      </c>
      <c r="C31" s="4">
        <v>8</v>
      </c>
      <c r="D31" s="4">
        <v>0</v>
      </c>
      <c r="E31" s="4">
        <v>0</v>
      </c>
      <c r="F31" s="4">
        <v>6</v>
      </c>
      <c r="G31" s="4">
        <v>75</v>
      </c>
      <c r="H31" s="4">
        <v>2</v>
      </c>
      <c r="I31" s="4">
        <v>25</v>
      </c>
      <c r="J31" s="4">
        <v>0</v>
      </c>
      <c r="K31" s="4">
        <v>0</v>
      </c>
      <c r="L31" s="4">
        <v>2</v>
      </c>
      <c r="M31" s="4">
        <v>25</v>
      </c>
      <c r="N31" s="4">
        <v>8</v>
      </c>
      <c r="O31" s="4">
        <v>100</v>
      </c>
    </row>
    <row r="32" spans="1:15" x14ac:dyDescent="0.25">
      <c r="A32" t="s">
        <v>26</v>
      </c>
      <c r="B32" t="s">
        <v>25</v>
      </c>
      <c r="C32" s="4">
        <v>6</v>
      </c>
      <c r="D32" s="4">
        <v>0</v>
      </c>
      <c r="E32" s="4">
        <v>0</v>
      </c>
      <c r="F32" s="4">
        <v>1</v>
      </c>
      <c r="G32" s="4">
        <v>16.670000000000002</v>
      </c>
      <c r="H32" s="4">
        <v>5</v>
      </c>
      <c r="I32" s="4">
        <v>83.33</v>
      </c>
      <c r="J32" s="4">
        <v>0</v>
      </c>
      <c r="K32" s="4">
        <v>0</v>
      </c>
      <c r="L32" s="4">
        <v>5</v>
      </c>
      <c r="M32" s="4">
        <v>83.33</v>
      </c>
      <c r="N32" s="4">
        <v>6</v>
      </c>
      <c r="O32" s="4">
        <v>100</v>
      </c>
    </row>
  </sheetData>
  <mergeCells count="9">
    <mergeCell ref="J3:K3"/>
    <mergeCell ref="L3:M3"/>
    <mergeCell ref="N3:O3"/>
    <mergeCell ref="A3:A4"/>
    <mergeCell ref="B3:B4"/>
    <mergeCell ref="C3:C4"/>
    <mergeCell ref="D3:E3"/>
    <mergeCell ref="F3:G3"/>
    <mergeCell ref="H3:I3"/>
  </mergeCells>
  <pageMargins left="0.31496062992125984" right="0.11811023622047245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2"/>
  <sheetViews>
    <sheetView workbookViewId="0">
      <selection activeCell="C69" sqref="C69"/>
    </sheetView>
  </sheetViews>
  <sheetFormatPr defaultRowHeight="12.75" x14ac:dyDescent="0.25"/>
  <cols>
    <col min="1" max="1" width="28.7109375" style="94" customWidth="1"/>
    <col min="2" max="2" width="9.5703125" style="73" customWidth="1"/>
    <col min="3" max="3" width="6.7109375" style="73" customWidth="1"/>
    <col min="4" max="4" width="8" style="73" customWidth="1"/>
    <col min="5" max="5" width="6.7109375" style="73" customWidth="1"/>
    <col min="6" max="6" width="8" style="73" customWidth="1"/>
    <col min="7" max="7" width="6.7109375" style="73" customWidth="1"/>
    <col min="8" max="8" width="8" style="73" customWidth="1"/>
    <col min="9" max="9" width="6.7109375" style="73" customWidth="1"/>
    <col min="10" max="10" width="8" style="73" customWidth="1"/>
    <col min="11" max="14" width="9.7109375" style="73" customWidth="1"/>
    <col min="15" max="16384" width="9.140625" style="73"/>
  </cols>
  <sheetData>
    <row r="2" spans="1:16" s="95" customFormat="1" ht="15" x14ac:dyDescent="0.25">
      <c r="A2" s="164" t="s">
        <v>215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6" s="95" customFormat="1" ht="15" x14ac:dyDescent="0.25">
      <c r="A3" s="164" t="s">
        <v>234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6" s="95" customFormat="1" ht="15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6" spans="1:16" s="96" customFormat="1" ht="32.25" customHeight="1" x14ac:dyDescent="0.25">
      <c r="A6" s="163" t="s">
        <v>0</v>
      </c>
      <c r="B6" s="163" t="s">
        <v>217</v>
      </c>
      <c r="C6" s="163" t="s">
        <v>218</v>
      </c>
      <c r="D6" s="163"/>
      <c r="E6" s="163"/>
      <c r="F6" s="163"/>
      <c r="G6" s="163"/>
      <c r="H6" s="163"/>
      <c r="I6" s="163"/>
      <c r="J6" s="163"/>
      <c r="K6" s="163" t="s">
        <v>219</v>
      </c>
      <c r="L6" s="163" t="s">
        <v>220</v>
      </c>
      <c r="M6" s="163" t="s">
        <v>221</v>
      </c>
      <c r="N6" s="163" t="s">
        <v>41</v>
      </c>
    </row>
    <row r="7" spans="1:16" s="96" customFormat="1" ht="18" customHeight="1" x14ac:dyDescent="0.25">
      <c r="A7" s="163"/>
      <c r="B7" s="163"/>
      <c r="C7" s="92" t="s">
        <v>222</v>
      </c>
      <c r="D7" s="92" t="s">
        <v>10</v>
      </c>
      <c r="E7" s="92" t="s">
        <v>223</v>
      </c>
      <c r="F7" s="92" t="s">
        <v>10</v>
      </c>
      <c r="G7" s="92" t="s">
        <v>224</v>
      </c>
      <c r="H7" s="92" t="s">
        <v>10</v>
      </c>
      <c r="I7" s="92" t="s">
        <v>225</v>
      </c>
      <c r="J7" s="92" t="s">
        <v>10</v>
      </c>
      <c r="K7" s="163"/>
      <c r="L7" s="163"/>
      <c r="M7" s="163"/>
      <c r="N7" s="163"/>
    </row>
    <row r="8" spans="1:16" s="98" customFormat="1" ht="10.5" customHeigh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6" s="82" customFormat="1" ht="15" customHeight="1" x14ac:dyDescent="0.25">
      <c r="A9" s="99" t="s">
        <v>64</v>
      </c>
      <c r="B9" s="83">
        <f>SUM(B10:B21)</f>
        <v>41</v>
      </c>
      <c r="C9" s="83">
        <f>SUM(C10:C21)</f>
        <v>9</v>
      </c>
      <c r="D9" s="84">
        <f>C9/B9</f>
        <v>0.21951219512195122</v>
      </c>
      <c r="E9" s="83">
        <f>SUM(E10:E21)</f>
        <v>24</v>
      </c>
      <c r="F9" s="84">
        <f t="shared" ref="F9:F21" si="0">E9/B9</f>
        <v>0.58536585365853655</v>
      </c>
      <c r="G9" s="83">
        <f>SUM(G10:G21)</f>
        <v>7</v>
      </c>
      <c r="H9" s="84">
        <f>G9/B9</f>
        <v>0.17073170731707318</v>
      </c>
      <c r="I9" s="83">
        <f>SUM(I10:I21)</f>
        <v>1</v>
      </c>
      <c r="J9" s="84">
        <f>I9/B9</f>
        <v>2.4390243902439025E-2</v>
      </c>
      <c r="K9" s="84">
        <f>(G9+I9)/B9</f>
        <v>0.1951219512195122</v>
      </c>
      <c r="L9" s="84">
        <f>(E9+G9+I9)/B9</f>
        <v>0.78048780487804881</v>
      </c>
      <c r="M9" s="85">
        <f>((E9*3)+(G9*4)+(I9*5)+(C9*2))/B9</f>
        <v>3</v>
      </c>
      <c r="N9" s="86">
        <f>1772/B9</f>
        <v>43.219512195121951</v>
      </c>
    </row>
    <row r="10" spans="1:16" s="100" customFormat="1" ht="15.75" customHeight="1" x14ac:dyDescent="0.25">
      <c r="A10" s="76" t="s">
        <v>88</v>
      </c>
      <c r="B10" s="114">
        <v>2</v>
      </c>
      <c r="C10" s="68"/>
      <c r="D10" s="69">
        <f>C10/B10</f>
        <v>0</v>
      </c>
      <c r="E10" s="68">
        <v>2</v>
      </c>
      <c r="F10" s="69">
        <f t="shared" si="0"/>
        <v>1</v>
      </c>
      <c r="G10" s="68"/>
      <c r="H10" s="69"/>
      <c r="I10" s="68"/>
      <c r="J10" s="69"/>
      <c r="K10" s="69">
        <f t="shared" ref="K10:K13" si="1">(G10+I10)/B10</f>
        <v>0</v>
      </c>
      <c r="L10" s="69">
        <f t="shared" ref="L10:L13" si="2">(E10+G10+I10)/B10</f>
        <v>1</v>
      </c>
      <c r="M10" s="70">
        <f t="shared" ref="M10:M13" si="3">((E10*3)+(G10*4)+(I10*5)+(C10*2))/B10</f>
        <v>3</v>
      </c>
      <c r="N10" s="115">
        <f>87/B10</f>
        <v>43.5</v>
      </c>
      <c r="P10" s="82"/>
    </row>
    <row r="11" spans="1:16" s="82" customFormat="1" ht="15" customHeight="1" x14ac:dyDescent="0.25">
      <c r="A11" s="76" t="s">
        <v>97</v>
      </c>
      <c r="B11" s="114">
        <v>5</v>
      </c>
      <c r="C11" s="68">
        <v>3</v>
      </c>
      <c r="D11" s="69">
        <f>C11/B11</f>
        <v>0.6</v>
      </c>
      <c r="E11" s="68">
        <v>2</v>
      </c>
      <c r="F11" s="69">
        <f t="shared" si="0"/>
        <v>0.4</v>
      </c>
      <c r="G11" s="68"/>
      <c r="H11" s="69"/>
      <c r="I11" s="68"/>
      <c r="J11" s="69"/>
      <c r="K11" s="69">
        <f t="shared" si="1"/>
        <v>0</v>
      </c>
      <c r="L11" s="69">
        <f t="shared" si="2"/>
        <v>0.4</v>
      </c>
      <c r="M11" s="70">
        <f t="shared" si="3"/>
        <v>2.4</v>
      </c>
      <c r="N11" s="115">
        <f>130/B11</f>
        <v>26</v>
      </c>
    </row>
    <row r="12" spans="1:16" s="82" customFormat="1" ht="15" customHeight="1" x14ac:dyDescent="0.25">
      <c r="A12" s="76" t="s">
        <v>107</v>
      </c>
      <c r="B12" s="114">
        <v>10</v>
      </c>
      <c r="C12" s="68">
        <v>1</v>
      </c>
      <c r="D12" s="69">
        <f>C12/B12</f>
        <v>0.1</v>
      </c>
      <c r="E12" s="68">
        <v>5</v>
      </c>
      <c r="F12" s="69">
        <f t="shared" si="0"/>
        <v>0.5</v>
      </c>
      <c r="G12" s="68">
        <v>3</v>
      </c>
      <c r="H12" s="69">
        <f>G12/B12</f>
        <v>0.3</v>
      </c>
      <c r="I12" s="68">
        <v>1</v>
      </c>
      <c r="J12" s="79">
        <f>I12/B12</f>
        <v>0.1</v>
      </c>
      <c r="K12" s="69">
        <f t="shared" si="1"/>
        <v>0.4</v>
      </c>
      <c r="L12" s="69">
        <f t="shared" si="2"/>
        <v>0.9</v>
      </c>
      <c r="M12" s="70">
        <f t="shared" si="3"/>
        <v>3.4</v>
      </c>
      <c r="N12" s="115">
        <f>507/B12</f>
        <v>50.7</v>
      </c>
    </row>
    <row r="13" spans="1:16" s="82" customFormat="1" ht="15" customHeight="1" x14ac:dyDescent="0.25">
      <c r="A13" s="76" t="s">
        <v>129</v>
      </c>
      <c r="B13" s="114">
        <v>4</v>
      </c>
      <c r="C13" s="68">
        <v>2</v>
      </c>
      <c r="D13" s="69">
        <f>C13/B13</f>
        <v>0.5</v>
      </c>
      <c r="E13" s="68">
        <v>1</v>
      </c>
      <c r="F13" s="69">
        <f t="shared" si="0"/>
        <v>0.25</v>
      </c>
      <c r="G13" s="68">
        <v>1</v>
      </c>
      <c r="H13" s="69">
        <f>G13/B13</f>
        <v>0.25</v>
      </c>
      <c r="I13" s="68"/>
      <c r="J13" s="69"/>
      <c r="K13" s="69">
        <f t="shared" si="1"/>
        <v>0.25</v>
      </c>
      <c r="L13" s="69">
        <f t="shared" si="2"/>
        <v>0.5</v>
      </c>
      <c r="M13" s="70">
        <f t="shared" si="3"/>
        <v>2.75</v>
      </c>
      <c r="N13" s="115">
        <f>149/B13</f>
        <v>37.25</v>
      </c>
    </row>
    <row r="14" spans="1:16" s="82" customFormat="1" ht="15" customHeight="1" x14ac:dyDescent="0.25">
      <c r="A14" s="76" t="s">
        <v>133</v>
      </c>
      <c r="B14" s="78">
        <v>2</v>
      </c>
      <c r="C14" s="78"/>
      <c r="D14" s="79"/>
      <c r="E14" s="78">
        <v>1</v>
      </c>
      <c r="F14" s="79">
        <f t="shared" si="0"/>
        <v>0.5</v>
      </c>
      <c r="G14" s="78">
        <v>1</v>
      </c>
      <c r="H14" s="69">
        <f>G14/B14</f>
        <v>0.5</v>
      </c>
      <c r="I14" s="78"/>
      <c r="J14" s="79"/>
      <c r="K14" s="79">
        <f t="shared" ref="K14:K21" si="4">(G14+I14)/B14</f>
        <v>0.5</v>
      </c>
      <c r="L14" s="79">
        <f t="shared" ref="L14:L21" si="5">(E14+G14+I14)/B14</f>
        <v>1</v>
      </c>
      <c r="M14" s="80">
        <f t="shared" ref="M14:M21" si="6">((E14*3)+(G14*4)+(I14*5)+(C14*2))/B14</f>
        <v>3.5</v>
      </c>
      <c r="N14" s="116">
        <f>99/B14</f>
        <v>49.5</v>
      </c>
    </row>
    <row r="15" spans="1:16" s="82" customFormat="1" ht="15" customHeight="1" x14ac:dyDescent="0.25">
      <c r="A15" s="76" t="s">
        <v>140</v>
      </c>
      <c r="B15" s="78">
        <v>1</v>
      </c>
      <c r="C15" s="78"/>
      <c r="D15" s="79"/>
      <c r="E15" s="78">
        <v>1</v>
      </c>
      <c r="F15" s="79">
        <f t="shared" si="0"/>
        <v>1</v>
      </c>
      <c r="G15" s="78"/>
      <c r="H15" s="79"/>
      <c r="I15" s="78"/>
      <c r="J15" s="79"/>
      <c r="K15" s="79">
        <f t="shared" si="4"/>
        <v>0</v>
      </c>
      <c r="L15" s="79">
        <f t="shared" si="5"/>
        <v>1</v>
      </c>
      <c r="M15" s="80">
        <f t="shared" si="6"/>
        <v>3</v>
      </c>
      <c r="N15" s="116">
        <f>43/B15</f>
        <v>43</v>
      </c>
    </row>
    <row r="16" spans="1:16" s="82" customFormat="1" ht="15" customHeight="1" x14ac:dyDescent="0.25">
      <c r="A16" s="76" t="s">
        <v>227</v>
      </c>
      <c r="B16" s="78">
        <v>2</v>
      </c>
      <c r="C16" s="78"/>
      <c r="D16" s="79"/>
      <c r="E16" s="78">
        <v>2</v>
      </c>
      <c r="F16" s="79">
        <f t="shared" si="0"/>
        <v>1</v>
      </c>
      <c r="G16" s="78"/>
      <c r="H16" s="79"/>
      <c r="I16" s="78"/>
      <c r="J16" s="79"/>
      <c r="K16" s="79">
        <f t="shared" si="4"/>
        <v>0</v>
      </c>
      <c r="L16" s="79">
        <f t="shared" si="5"/>
        <v>1</v>
      </c>
      <c r="M16" s="80">
        <f t="shared" si="6"/>
        <v>3</v>
      </c>
      <c r="N16" s="116">
        <f>89/B16</f>
        <v>44.5</v>
      </c>
    </row>
    <row r="17" spans="1:16" s="82" customFormat="1" ht="15" customHeight="1" x14ac:dyDescent="0.25">
      <c r="A17" s="76" t="s">
        <v>146</v>
      </c>
      <c r="B17" s="78">
        <v>1</v>
      </c>
      <c r="C17" s="78"/>
      <c r="D17" s="79"/>
      <c r="E17" s="78">
        <v>1</v>
      </c>
      <c r="F17" s="79">
        <f t="shared" si="0"/>
        <v>1</v>
      </c>
      <c r="G17" s="78"/>
      <c r="H17" s="79"/>
      <c r="I17" s="78"/>
      <c r="J17" s="79"/>
      <c r="K17" s="79">
        <f t="shared" si="4"/>
        <v>0</v>
      </c>
      <c r="L17" s="79">
        <f t="shared" si="5"/>
        <v>1</v>
      </c>
      <c r="M17" s="80">
        <f t="shared" si="6"/>
        <v>3</v>
      </c>
      <c r="N17" s="116">
        <f>60/B17</f>
        <v>60</v>
      </c>
    </row>
    <row r="18" spans="1:16" s="82" customFormat="1" ht="15" customHeight="1" x14ac:dyDescent="0.25">
      <c r="A18" s="76" t="s">
        <v>152</v>
      </c>
      <c r="B18" s="78">
        <v>2</v>
      </c>
      <c r="C18" s="78">
        <v>1</v>
      </c>
      <c r="D18" s="79">
        <f>C18/B18</f>
        <v>0.5</v>
      </c>
      <c r="E18" s="78">
        <v>1</v>
      </c>
      <c r="F18" s="79">
        <f t="shared" si="0"/>
        <v>0.5</v>
      </c>
      <c r="G18" s="78"/>
      <c r="H18" s="79"/>
      <c r="I18" s="78"/>
      <c r="J18" s="79"/>
      <c r="K18" s="79">
        <f t="shared" si="4"/>
        <v>0</v>
      </c>
      <c r="L18" s="79">
        <f t="shared" si="5"/>
        <v>0.5</v>
      </c>
      <c r="M18" s="80">
        <f t="shared" si="6"/>
        <v>2.5</v>
      </c>
      <c r="N18" s="116">
        <f>69/B18</f>
        <v>34.5</v>
      </c>
    </row>
    <row r="19" spans="1:16" s="82" customFormat="1" ht="15" customHeight="1" x14ac:dyDescent="0.25">
      <c r="A19" s="76" t="s">
        <v>229</v>
      </c>
      <c r="B19" s="78">
        <v>4</v>
      </c>
      <c r="C19" s="78"/>
      <c r="D19" s="79"/>
      <c r="E19" s="78">
        <v>3</v>
      </c>
      <c r="F19" s="79">
        <f t="shared" si="0"/>
        <v>0.75</v>
      </c>
      <c r="G19" s="78">
        <v>1</v>
      </c>
      <c r="H19" s="69">
        <f>G19/B19</f>
        <v>0.25</v>
      </c>
      <c r="I19" s="78"/>
      <c r="J19" s="79"/>
      <c r="K19" s="79">
        <f t="shared" si="4"/>
        <v>0.25</v>
      </c>
      <c r="L19" s="79">
        <f t="shared" si="5"/>
        <v>1</v>
      </c>
      <c r="M19" s="80">
        <f t="shared" si="6"/>
        <v>3.25</v>
      </c>
      <c r="N19" s="116">
        <f>186/B19</f>
        <v>46.5</v>
      </c>
    </row>
    <row r="20" spans="1:16" s="82" customFormat="1" ht="15" customHeight="1" x14ac:dyDescent="0.25">
      <c r="A20" s="76" t="s">
        <v>165</v>
      </c>
      <c r="B20" s="78">
        <v>4</v>
      </c>
      <c r="C20" s="78">
        <v>2</v>
      </c>
      <c r="D20" s="79">
        <f>C20/B20</f>
        <v>0.5</v>
      </c>
      <c r="E20" s="78">
        <v>2</v>
      </c>
      <c r="F20" s="79">
        <f t="shared" si="0"/>
        <v>0.5</v>
      </c>
      <c r="G20" s="78"/>
      <c r="H20" s="79"/>
      <c r="I20" s="78"/>
      <c r="J20" s="79"/>
      <c r="K20" s="79">
        <f t="shared" si="4"/>
        <v>0</v>
      </c>
      <c r="L20" s="79">
        <f t="shared" si="5"/>
        <v>0.5</v>
      </c>
      <c r="M20" s="80">
        <f t="shared" si="6"/>
        <v>2.5</v>
      </c>
      <c r="N20" s="116">
        <f>133/B20</f>
        <v>33.25</v>
      </c>
    </row>
    <row r="21" spans="1:16" s="82" customFormat="1" ht="15" customHeight="1" x14ac:dyDescent="0.25">
      <c r="A21" s="76" t="s">
        <v>186</v>
      </c>
      <c r="B21" s="78">
        <v>4</v>
      </c>
      <c r="C21" s="78"/>
      <c r="D21" s="79"/>
      <c r="E21" s="78">
        <v>3</v>
      </c>
      <c r="F21" s="79">
        <f t="shared" si="0"/>
        <v>0.75</v>
      </c>
      <c r="G21" s="78">
        <v>1</v>
      </c>
      <c r="H21" s="79">
        <f>G21/B21</f>
        <v>0.25</v>
      </c>
      <c r="I21" s="78"/>
      <c r="J21" s="79"/>
      <c r="K21" s="79">
        <f t="shared" si="4"/>
        <v>0.25</v>
      </c>
      <c r="L21" s="79">
        <f t="shared" si="5"/>
        <v>1</v>
      </c>
      <c r="M21" s="80">
        <f t="shared" si="6"/>
        <v>3.25</v>
      </c>
      <c r="N21" s="116">
        <f>220/B21</f>
        <v>55</v>
      </c>
    </row>
    <row r="22" spans="1:16" s="82" customFormat="1" ht="10.5" customHeight="1" x14ac:dyDescent="0.25">
      <c r="A22" s="76"/>
      <c r="B22" s="77"/>
      <c r="C22" s="78"/>
      <c r="D22" s="79"/>
      <c r="E22" s="78"/>
      <c r="F22" s="79"/>
      <c r="G22" s="78"/>
      <c r="H22" s="79"/>
      <c r="I22" s="78"/>
      <c r="J22" s="79"/>
      <c r="K22" s="79"/>
      <c r="L22" s="79"/>
      <c r="M22" s="80"/>
      <c r="N22" s="81"/>
    </row>
    <row r="23" spans="1:16" s="101" customFormat="1" ht="14.25" customHeight="1" x14ac:dyDescent="0.25">
      <c r="A23" s="74" t="s">
        <v>230</v>
      </c>
      <c r="B23" s="66">
        <f>SUM(B24:B31)</f>
        <v>16</v>
      </c>
      <c r="C23" s="66">
        <f>SUM(C24:C31)</f>
        <v>12</v>
      </c>
      <c r="D23" s="58">
        <f>C23/B23</f>
        <v>0.75</v>
      </c>
      <c r="E23" s="66">
        <f>SUM(E24:E31)</f>
        <v>4</v>
      </c>
      <c r="F23" s="58">
        <f>E23/B23</f>
        <v>0.25</v>
      </c>
      <c r="G23" s="66">
        <f>SUM(G24:G31)</f>
        <v>0</v>
      </c>
      <c r="H23" s="58">
        <f t="shared" ref="H23" si="7">G23/B23</f>
        <v>0</v>
      </c>
      <c r="I23" s="66">
        <f>SUM(I24:I31)</f>
        <v>0</v>
      </c>
      <c r="J23" s="58">
        <f>I23/B23</f>
        <v>0</v>
      </c>
      <c r="K23" s="58">
        <f>(G23+I23)/B23</f>
        <v>0</v>
      </c>
      <c r="L23" s="58">
        <f>(E23+G23+I23)/B23</f>
        <v>0.25</v>
      </c>
      <c r="M23" s="59">
        <f>((E23*3)+(G23*4)+(I23*5)+(C23*2))/B23</f>
        <v>2.25</v>
      </c>
      <c r="N23" s="60">
        <f>318/B23</f>
        <v>19.875</v>
      </c>
      <c r="P23" s="82"/>
    </row>
    <row r="24" spans="1:16" s="87" customFormat="1" ht="15.75" customHeight="1" x14ac:dyDescent="0.25">
      <c r="A24" s="76" t="s">
        <v>88</v>
      </c>
      <c r="B24" s="114">
        <v>1</v>
      </c>
      <c r="C24" s="68"/>
      <c r="D24" s="69"/>
      <c r="E24" s="68">
        <v>1</v>
      </c>
      <c r="F24" s="69">
        <f>E24/B24</f>
        <v>1</v>
      </c>
      <c r="G24" s="68"/>
      <c r="H24" s="69"/>
      <c r="I24" s="68"/>
      <c r="J24" s="69"/>
      <c r="K24" s="69">
        <f t="shared" ref="K24:K30" si="8">(G24+I24)/B24</f>
        <v>0</v>
      </c>
      <c r="L24" s="69">
        <f t="shared" ref="L24:L30" si="9">(E24+G24+I24)/B24</f>
        <v>1</v>
      </c>
      <c r="M24" s="70">
        <f t="shared" ref="M24:M30" si="10">((E24*3)+(G24*4)+(I24*5)+(C24*2))/B24</f>
        <v>3</v>
      </c>
      <c r="N24" s="115">
        <f>33/B24</f>
        <v>33</v>
      </c>
      <c r="O24" s="118"/>
      <c r="P24" s="117"/>
    </row>
    <row r="25" spans="1:16" s="87" customFormat="1" ht="15.75" customHeight="1" x14ac:dyDescent="0.25">
      <c r="A25" s="76" t="s">
        <v>97</v>
      </c>
      <c r="B25" s="114">
        <v>3</v>
      </c>
      <c r="C25" s="68">
        <v>3</v>
      </c>
      <c r="D25" s="69">
        <f t="shared" ref="D25:D31" si="11">C25/B25</f>
        <v>1</v>
      </c>
      <c r="E25" s="68"/>
      <c r="F25" s="69"/>
      <c r="G25" s="68"/>
      <c r="H25" s="69"/>
      <c r="I25" s="68"/>
      <c r="J25" s="69"/>
      <c r="K25" s="69">
        <f t="shared" si="8"/>
        <v>0</v>
      </c>
      <c r="L25" s="69">
        <f t="shared" si="9"/>
        <v>0</v>
      </c>
      <c r="M25" s="70">
        <f t="shared" si="10"/>
        <v>2</v>
      </c>
      <c r="N25" s="115">
        <f>41/B25</f>
        <v>13.666666666666666</v>
      </c>
      <c r="O25" s="118"/>
      <c r="P25" s="117"/>
    </row>
    <row r="26" spans="1:16" s="87" customFormat="1" ht="15.75" customHeight="1" x14ac:dyDescent="0.25">
      <c r="A26" s="76" t="s">
        <v>107</v>
      </c>
      <c r="B26" s="114">
        <v>3</v>
      </c>
      <c r="C26" s="68">
        <v>2</v>
      </c>
      <c r="D26" s="69">
        <f t="shared" si="11"/>
        <v>0.66666666666666663</v>
      </c>
      <c r="E26" s="68">
        <v>1</v>
      </c>
      <c r="F26" s="69">
        <f>E26/B26</f>
        <v>0.33333333333333331</v>
      </c>
      <c r="G26" s="68"/>
      <c r="H26" s="69"/>
      <c r="I26" s="68"/>
      <c r="J26" s="69"/>
      <c r="K26" s="69">
        <f t="shared" si="8"/>
        <v>0</v>
      </c>
      <c r="L26" s="69">
        <f t="shared" si="9"/>
        <v>0.33333333333333331</v>
      </c>
      <c r="M26" s="70">
        <f t="shared" si="10"/>
        <v>2.3333333333333335</v>
      </c>
      <c r="N26" s="115">
        <f>62/B26</f>
        <v>20.666666666666668</v>
      </c>
      <c r="O26" s="118"/>
      <c r="P26" s="117"/>
    </row>
    <row r="27" spans="1:16" s="87" customFormat="1" ht="15.75" customHeight="1" x14ac:dyDescent="0.25">
      <c r="A27" s="76" t="s">
        <v>129</v>
      </c>
      <c r="B27" s="114">
        <v>2</v>
      </c>
      <c r="C27" s="68">
        <v>2</v>
      </c>
      <c r="D27" s="69">
        <f t="shared" si="11"/>
        <v>1</v>
      </c>
      <c r="E27" s="68"/>
      <c r="F27" s="69"/>
      <c r="G27" s="68"/>
      <c r="H27" s="69"/>
      <c r="I27" s="68"/>
      <c r="J27" s="69"/>
      <c r="K27" s="69">
        <f t="shared" si="8"/>
        <v>0</v>
      </c>
      <c r="L27" s="69">
        <f t="shared" si="9"/>
        <v>0</v>
      </c>
      <c r="M27" s="70">
        <f t="shared" si="10"/>
        <v>2</v>
      </c>
      <c r="N27" s="115">
        <f>32/B27</f>
        <v>16</v>
      </c>
      <c r="O27" s="118"/>
      <c r="P27" s="117"/>
    </row>
    <row r="28" spans="1:16" s="87" customFormat="1" ht="15.75" customHeight="1" x14ac:dyDescent="0.25">
      <c r="A28" s="76" t="s">
        <v>227</v>
      </c>
      <c r="B28" s="114">
        <v>1</v>
      </c>
      <c r="C28" s="68">
        <v>1</v>
      </c>
      <c r="D28" s="69">
        <f t="shared" si="11"/>
        <v>1</v>
      </c>
      <c r="E28" s="68"/>
      <c r="F28" s="69"/>
      <c r="G28" s="68"/>
      <c r="H28" s="69"/>
      <c r="I28" s="68"/>
      <c r="J28" s="69"/>
      <c r="K28" s="69">
        <f t="shared" si="8"/>
        <v>0</v>
      </c>
      <c r="L28" s="69">
        <f t="shared" si="9"/>
        <v>0</v>
      </c>
      <c r="M28" s="70">
        <f t="shared" si="10"/>
        <v>2</v>
      </c>
      <c r="N28" s="115">
        <f>23/B28</f>
        <v>23</v>
      </c>
      <c r="O28" s="118"/>
      <c r="P28" s="117"/>
    </row>
    <row r="29" spans="1:16" s="87" customFormat="1" ht="15.75" customHeight="1" x14ac:dyDescent="0.25">
      <c r="A29" s="76" t="s">
        <v>152</v>
      </c>
      <c r="B29" s="114">
        <v>1</v>
      </c>
      <c r="C29" s="68">
        <v>1</v>
      </c>
      <c r="D29" s="69">
        <f t="shared" si="11"/>
        <v>1</v>
      </c>
      <c r="E29" s="68"/>
      <c r="F29" s="69"/>
      <c r="G29" s="68"/>
      <c r="H29" s="69"/>
      <c r="I29" s="68"/>
      <c r="J29" s="69"/>
      <c r="K29" s="69">
        <f t="shared" si="8"/>
        <v>0</v>
      </c>
      <c r="L29" s="69">
        <f t="shared" si="9"/>
        <v>0</v>
      </c>
      <c r="M29" s="70">
        <f t="shared" si="10"/>
        <v>2</v>
      </c>
      <c r="N29" s="115">
        <f>14/B29</f>
        <v>14</v>
      </c>
      <c r="O29" s="118"/>
      <c r="P29" s="117"/>
    </row>
    <row r="30" spans="1:16" s="87" customFormat="1" ht="15.75" customHeight="1" x14ac:dyDescent="0.25">
      <c r="A30" s="76" t="s">
        <v>229</v>
      </c>
      <c r="B30" s="114">
        <v>3</v>
      </c>
      <c r="C30" s="68">
        <v>1</v>
      </c>
      <c r="D30" s="69">
        <f t="shared" si="11"/>
        <v>0.33333333333333331</v>
      </c>
      <c r="E30" s="68">
        <v>2</v>
      </c>
      <c r="F30" s="62">
        <f>E30/B30</f>
        <v>0.66666666666666663</v>
      </c>
      <c r="G30" s="68"/>
      <c r="H30" s="69"/>
      <c r="I30" s="68"/>
      <c r="J30" s="69"/>
      <c r="K30" s="69">
        <f t="shared" si="8"/>
        <v>0</v>
      </c>
      <c r="L30" s="69">
        <f t="shared" si="9"/>
        <v>0.66666666666666663</v>
      </c>
      <c r="M30" s="70">
        <f t="shared" si="10"/>
        <v>2.6666666666666665</v>
      </c>
      <c r="N30" s="115">
        <f>77/B30</f>
        <v>25.666666666666668</v>
      </c>
      <c r="O30" s="118"/>
      <c r="P30" s="117"/>
    </row>
    <row r="31" spans="1:16" s="117" customFormat="1" ht="15" customHeight="1" x14ac:dyDescent="0.25">
      <c r="A31" s="76" t="s">
        <v>165</v>
      </c>
      <c r="B31" s="78">
        <v>2</v>
      </c>
      <c r="C31" s="78">
        <v>2</v>
      </c>
      <c r="D31" s="62">
        <f t="shared" si="11"/>
        <v>1</v>
      </c>
      <c r="E31" s="78"/>
      <c r="F31" s="62"/>
      <c r="G31" s="78"/>
      <c r="H31" s="79"/>
      <c r="I31" s="78"/>
      <c r="J31" s="79"/>
      <c r="K31" s="79">
        <f>(G31+I31)/B31</f>
        <v>0</v>
      </c>
      <c r="L31" s="79">
        <f>(E31+G31+I31)/B31</f>
        <v>0</v>
      </c>
      <c r="M31" s="80">
        <f>((E31*3)+(G31*4)+(I31*5)+(C31*2))/B31</f>
        <v>2</v>
      </c>
      <c r="N31" s="116">
        <f>36/B31</f>
        <v>18</v>
      </c>
      <c r="O31" s="119"/>
    </row>
    <row r="32" spans="1:16" s="82" customFormat="1" ht="9.75" customHeight="1" x14ac:dyDescent="0.25">
      <c r="A32" s="76"/>
      <c r="B32" s="77"/>
      <c r="C32" s="78"/>
      <c r="D32" s="62"/>
      <c r="E32" s="78"/>
      <c r="F32" s="62"/>
      <c r="G32" s="78"/>
      <c r="H32" s="79"/>
      <c r="I32" s="78"/>
      <c r="J32" s="79"/>
      <c r="K32" s="79"/>
      <c r="L32" s="79"/>
      <c r="M32" s="80"/>
      <c r="N32" s="81"/>
    </row>
    <row r="33" spans="1:16" ht="15" customHeight="1" x14ac:dyDescent="0.25">
      <c r="A33" s="74" t="s">
        <v>66</v>
      </c>
      <c r="B33" s="66">
        <f>SUM(B34:B37)</f>
        <v>5</v>
      </c>
      <c r="C33" s="66">
        <f>SUM(C34:C37)</f>
        <v>0</v>
      </c>
      <c r="D33" s="58">
        <f>C33/B33</f>
        <v>0</v>
      </c>
      <c r="E33" s="66">
        <f>SUM(E34:E37)</f>
        <v>5</v>
      </c>
      <c r="F33" s="58">
        <f>E33/B33</f>
        <v>1</v>
      </c>
      <c r="G33" s="66">
        <f>SUM(G34:G37)</f>
        <v>0</v>
      </c>
      <c r="H33" s="58">
        <f>G33/B33</f>
        <v>0</v>
      </c>
      <c r="I33" s="66">
        <f>SUM(I34:I37)</f>
        <v>0</v>
      </c>
      <c r="J33" s="58">
        <f>I33/B33</f>
        <v>0</v>
      </c>
      <c r="K33" s="58">
        <f>(G33+I33)/B33</f>
        <v>0</v>
      </c>
      <c r="L33" s="58">
        <f>(E33+G33+I33)/B33</f>
        <v>1</v>
      </c>
      <c r="M33" s="59">
        <f>((E33*3)+(G33*4)+(I33*5)+(C33*2))/B33</f>
        <v>3</v>
      </c>
      <c r="N33" s="60">
        <f>250/B33</f>
        <v>50</v>
      </c>
      <c r="P33" s="82"/>
    </row>
    <row r="34" spans="1:16" s="110" customFormat="1" ht="15" customHeight="1" x14ac:dyDescent="0.25">
      <c r="A34" s="76" t="s">
        <v>107</v>
      </c>
      <c r="B34" s="120">
        <v>2</v>
      </c>
      <c r="C34" s="61"/>
      <c r="D34" s="62"/>
      <c r="E34" s="61">
        <v>2</v>
      </c>
      <c r="F34" s="62">
        <f>E34/B34</f>
        <v>1</v>
      </c>
      <c r="G34" s="61"/>
      <c r="H34" s="62"/>
      <c r="I34" s="61"/>
      <c r="J34" s="62"/>
      <c r="K34" s="62">
        <f t="shared" ref="K34:K36" si="12">(G34+I34)/B34</f>
        <v>0</v>
      </c>
      <c r="L34" s="62">
        <f t="shared" ref="L34:L36" si="13">(E34+G34+I34)/B34</f>
        <v>1</v>
      </c>
      <c r="M34" s="63">
        <f t="shared" ref="M34:M36" si="14">((E34*3)+(G34*4)+(I34*5)+(C34*2))/B34</f>
        <v>3</v>
      </c>
      <c r="N34" s="115">
        <f>97/B34</f>
        <v>48.5</v>
      </c>
      <c r="P34" s="117"/>
    </row>
    <row r="35" spans="1:16" s="87" customFormat="1" ht="15.75" customHeight="1" x14ac:dyDescent="0.25">
      <c r="A35" s="76" t="s">
        <v>129</v>
      </c>
      <c r="B35" s="120">
        <v>1</v>
      </c>
      <c r="C35" s="61"/>
      <c r="D35" s="62"/>
      <c r="E35" s="61">
        <v>1</v>
      </c>
      <c r="F35" s="62">
        <f>E35/B35</f>
        <v>1</v>
      </c>
      <c r="G35" s="61"/>
      <c r="H35" s="62"/>
      <c r="I35" s="61"/>
      <c r="J35" s="62"/>
      <c r="K35" s="62">
        <f t="shared" si="12"/>
        <v>0</v>
      </c>
      <c r="L35" s="62">
        <f t="shared" si="13"/>
        <v>1</v>
      </c>
      <c r="M35" s="63">
        <f t="shared" si="14"/>
        <v>3</v>
      </c>
      <c r="N35" s="115">
        <f>55/B35</f>
        <v>55</v>
      </c>
      <c r="P35" s="117"/>
    </row>
    <row r="36" spans="1:16" s="87" customFormat="1" ht="15.75" customHeight="1" x14ac:dyDescent="0.25">
      <c r="A36" s="76" t="s">
        <v>229</v>
      </c>
      <c r="B36" s="114">
        <v>1</v>
      </c>
      <c r="C36" s="68"/>
      <c r="D36" s="69"/>
      <c r="E36" s="68">
        <v>1</v>
      </c>
      <c r="F36" s="62">
        <f>E36/B36</f>
        <v>1</v>
      </c>
      <c r="G36" s="68"/>
      <c r="H36" s="69"/>
      <c r="I36" s="68"/>
      <c r="J36" s="69"/>
      <c r="K36" s="69">
        <f t="shared" si="12"/>
        <v>0</v>
      </c>
      <c r="L36" s="69">
        <f t="shared" si="13"/>
        <v>1</v>
      </c>
      <c r="M36" s="70">
        <f t="shared" si="14"/>
        <v>3</v>
      </c>
      <c r="N36" s="115">
        <f>51/B36</f>
        <v>51</v>
      </c>
      <c r="O36" s="118"/>
      <c r="P36" s="117"/>
    </row>
    <row r="37" spans="1:16" s="117" customFormat="1" ht="15" customHeight="1" x14ac:dyDescent="0.25">
      <c r="A37" s="76" t="s">
        <v>165</v>
      </c>
      <c r="B37" s="78">
        <v>1</v>
      </c>
      <c r="C37" s="78"/>
      <c r="D37" s="62"/>
      <c r="E37" s="68">
        <v>1</v>
      </c>
      <c r="F37" s="62">
        <f>E37/B37</f>
        <v>1</v>
      </c>
      <c r="G37" s="78"/>
      <c r="H37" s="79"/>
      <c r="I37" s="78"/>
      <c r="J37" s="79"/>
      <c r="K37" s="79">
        <f>(G37+I37)/B37</f>
        <v>0</v>
      </c>
      <c r="L37" s="79">
        <f>(E37+G37+I37)/B37</f>
        <v>1</v>
      </c>
      <c r="M37" s="80">
        <f>((E37*3)+(G37*4)+(I37*5)+(C37*2))/B37</f>
        <v>3</v>
      </c>
      <c r="N37" s="116">
        <f>47/B37</f>
        <v>47</v>
      </c>
      <c r="O37" s="119"/>
    </row>
    <row r="38" spans="1:16" ht="9.75" customHeight="1" x14ac:dyDescent="0.25">
      <c r="A38" s="65"/>
      <c r="B38" s="72"/>
      <c r="C38" s="61"/>
      <c r="D38" s="62"/>
      <c r="E38" s="61"/>
      <c r="F38" s="62"/>
      <c r="G38" s="61"/>
      <c r="H38" s="62"/>
      <c r="I38" s="61"/>
      <c r="J38" s="62"/>
      <c r="K38" s="62"/>
      <c r="L38" s="62"/>
      <c r="M38" s="63"/>
      <c r="N38" s="64"/>
      <c r="P38" s="82"/>
    </row>
    <row r="39" spans="1:16" ht="15" customHeight="1" x14ac:dyDescent="0.25">
      <c r="A39" s="74" t="s">
        <v>67</v>
      </c>
      <c r="B39" s="66">
        <f>SUM(B40:B46)</f>
        <v>11</v>
      </c>
      <c r="C39" s="66">
        <f>SUM(C40:C46)</f>
        <v>9</v>
      </c>
      <c r="D39" s="58">
        <f>C39/B39</f>
        <v>0.81818181818181823</v>
      </c>
      <c r="E39" s="66">
        <f>SUM(E40:E46)</f>
        <v>2</v>
      </c>
      <c r="F39" s="58">
        <f>E39/B39</f>
        <v>0.18181818181818182</v>
      </c>
      <c r="G39" s="66">
        <f>SUM(G40:G46)</f>
        <v>0</v>
      </c>
      <c r="H39" s="58">
        <f>G39/B39</f>
        <v>0</v>
      </c>
      <c r="I39" s="66">
        <f>SUM(I40:I46)</f>
        <v>0</v>
      </c>
      <c r="J39" s="58">
        <f>I39/B39</f>
        <v>0</v>
      </c>
      <c r="K39" s="58">
        <f>(G39+I39)/B39</f>
        <v>0</v>
      </c>
      <c r="L39" s="58">
        <f>(E39+G39+I39)/B39</f>
        <v>0.18181818181818182</v>
      </c>
      <c r="M39" s="59">
        <f>((E39*3)+(G39*4)+(I39*5)+(C39*2))/B39</f>
        <v>2.1818181818181817</v>
      </c>
      <c r="N39" s="60">
        <f>219/B39</f>
        <v>19.90909090909091</v>
      </c>
      <c r="P39" s="82"/>
    </row>
    <row r="40" spans="1:16" s="117" customFormat="1" ht="15" customHeight="1" x14ac:dyDescent="0.25">
      <c r="A40" s="76" t="s">
        <v>107</v>
      </c>
      <c r="B40" s="68">
        <v>1</v>
      </c>
      <c r="C40" s="68">
        <v>1</v>
      </c>
      <c r="D40" s="69">
        <f>C40/B40</f>
        <v>1</v>
      </c>
      <c r="E40" s="68"/>
      <c r="F40" s="69"/>
      <c r="G40" s="68"/>
      <c r="H40" s="69"/>
      <c r="I40" s="68"/>
      <c r="J40" s="69"/>
      <c r="K40" s="69">
        <f t="shared" ref="K40:K41" si="15">(G40+I40)/B40</f>
        <v>0</v>
      </c>
      <c r="L40" s="69">
        <f t="shared" ref="L40:L41" si="16">(E40+G40+I40)/B40</f>
        <v>0</v>
      </c>
      <c r="M40" s="70">
        <f t="shared" ref="M40:M41" si="17">((E40*3)+(G40*4)+(I40*5)+(C40*2))/B40</f>
        <v>2</v>
      </c>
      <c r="N40" s="115">
        <f>21/B40</f>
        <v>21</v>
      </c>
    </row>
    <row r="41" spans="1:16" s="87" customFormat="1" ht="15.75" customHeight="1" x14ac:dyDescent="0.25">
      <c r="A41" s="76" t="s">
        <v>129</v>
      </c>
      <c r="B41" s="68">
        <v>3</v>
      </c>
      <c r="C41" s="68">
        <v>2</v>
      </c>
      <c r="D41" s="69">
        <f>C41/B41</f>
        <v>0.66666666666666663</v>
      </c>
      <c r="E41" s="68">
        <v>1</v>
      </c>
      <c r="F41" s="62">
        <f>E41/B41</f>
        <v>0.33333333333333331</v>
      </c>
      <c r="G41" s="68"/>
      <c r="H41" s="69"/>
      <c r="I41" s="68"/>
      <c r="J41" s="69"/>
      <c r="K41" s="69">
        <f t="shared" si="15"/>
        <v>0</v>
      </c>
      <c r="L41" s="69">
        <f t="shared" si="16"/>
        <v>0.33333333333333331</v>
      </c>
      <c r="M41" s="70">
        <f t="shared" si="17"/>
        <v>2.3333333333333335</v>
      </c>
      <c r="N41" s="115">
        <f>84/B41</f>
        <v>28</v>
      </c>
      <c r="P41" s="117"/>
    </row>
    <row r="42" spans="1:16" s="117" customFormat="1" ht="15" customHeight="1" x14ac:dyDescent="0.25">
      <c r="A42" s="76" t="s">
        <v>133</v>
      </c>
      <c r="B42" s="78">
        <v>1</v>
      </c>
      <c r="C42" s="78">
        <v>1</v>
      </c>
      <c r="D42" s="69">
        <f>C42/B42</f>
        <v>1</v>
      </c>
      <c r="E42" s="78"/>
      <c r="F42" s="79"/>
      <c r="G42" s="78"/>
      <c r="H42" s="79"/>
      <c r="I42" s="78"/>
      <c r="J42" s="79"/>
      <c r="K42" s="79">
        <f>(G42+I42)/B42</f>
        <v>0</v>
      </c>
      <c r="L42" s="79">
        <f>(E42+G42+I42)/B42</f>
        <v>0</v>
      </c>
      <c r="M42" s="80">
        <f>((E42*3)+(G42*4)+(I42*5)+(C42*2))/B42</f>
        <v>2</v>
      </c>
      <c r="N42" s="116">
        <f>9/B42</f>
        <v>9</v>
      </c>
    </row>
    <row r="43" spans="1:16" s="117" customFormat="1" ht="15" customHeight="1" x14ac:dyDescent="0.25">
      <c r="A43" s="76" t="s">
        <v>140</v>
      </c>
      <c r="B43" s="78">
        <v>1</v>
      </c>
      <c r="C43" s="78">
        <v>1</v>
      </c>
      <c r="D43" s="79">
        <f>C43/B43</f>
        <v>1</v>
      </c>
      <c r="E43" s="78"/>
      <c r="F43" s="79"/>
      <c r="G43" s="78"/>
      <c r="H43" s="79"/>
      <c r="I43" s="78"/>
      <c r="J43" s="79"/>
      <c r="K43" s="79">
        <f>(G43+I43)/B43</f>
        <v>0</v>
      </c>
      <c r="L43" s="79">
        <f>(E43+G43+I43)/B43</f>
        <v>0</v>
      </c>
      <c r="M43" s="80">
        <f>((E43*3)+(G43*4)+(I43*5)+(C43*2))/B43</f>
        <v>2</v>
      </c>
      <c r="N43" s="116">
        <f>21/B43</f>
        <v>21</v>
      </c>
    </row>
    <row r="44" spans="1:16" s="87" customFormat="1" ht="15.75" customHeight="1" x14ac:dyDescent="0.25">
      <c r="A44" s="76" t="s">
        <v>229</v>
      </c>
      <c r="B44" s="68">
        <v>1</v>
      </c>
      <c r="C44" s="68"/>
      <c r="D44" s="69"/>
      <c r="E44" s="68">
        <v>1</v>
      </c>
      <c r="F44" s="62">
        <f>E44/B44</f>
        <v>1</v>
      </c>
      <c r="G44" s="68"/>
      <c r="H44" s="69"/>
      <c r="I44" s="68"/>
      <c r="J44" s="69"/>
      <c r="K44" s="69">
        <f t="shared" ref="K44" si="18">(G44+I44)/B44</f>
        <v>0</v>
      </c>
      <c r="L44" s="69">
        <f t="shared" ref="L44" si="19">(E44+G44+I44)/B44</f>
        <v>1</v>
      </c>
      <c r="M44" s="70">
        <f t="shared" ref="M44" si="20">((E44*3)+(G44*4)+(I44*5)+(C44*2))/B44</f>
        <v>3</v>
      </c>
      <c r="N44" s="115">
        <f>36/B44</f>
        <v>36</v>
      </c>
      <c r="O44" s="118"/>
      <c r="P44" s="117"/>
    </row>
    <row r="45" spans="1:16" s="117" customFormat="1" ht="15" customHeight="1" x14ac:dyDescent="0.25">
      <c r="A45" s="76" t="s">
        <v>165</v>
      </c>
      <c r="B45" s="78">
        <v>3</v>
      </c>
      <c r="C45" s="78">
        <v>3</v>
      </c>
      <c r="D45" s="79">
        <f>C45/B45</f>
        <v>1</v>
      </c>
      <c r="E45" s="78"/>
      <c r="F45" s="79"/>
      <c r="G45" s="78"/>
      <c r="H45" s="79"/>
      <c r="I45" s="78"/>
      <c r="J45" s="79"/>
      <c r="K45" s="79">
        <f>(G45+I45)/B45</f>
        <v>0</v>
      </c>
      <c r="L45" s="79">
        <f>(E45+G45+I45)/B45</f>
        <v>0</v>
      </c>
      <c r="M45" s="80">
        <f>((E45*3)+(G45*4)+(I45*5)+(C45*2))/B45</f>
        <v>2</v>
      </c>
      <c r="N45" s="116">
        <f>33/B45</f>
        <v>11</v>
      </c>
    </row>
    <row r="46" spans="1:16" s="117" customFormat="1" ht="15" customHeight="1" x14ac:dyDescent="0.25">
      <c r="A46" s="76" t="s">
        <v>186</v>
      </c>
      <c r="B46" s="78">
        <v>1</v>
      </c>
      <c r="C46" s="78">
        <v>1</v>
      </c>
      <c r="D46" s="79">
        <f>C46/B46</f>
        <v>1</v>
      </c>
      <c r="E46" s="78"/>
      <c r="F46" s="79"/>
      <c r="G46" s="78"/>
      <c r="H46" s="79"/>
      <c r="I46" s="78"/>
      <c r="J46" s="79"/>
      <c r="K46" s="79">
        <f>(G46+I46)/B46</f>
        <v>0</v>
      </c>
      <c r="L46" s="79">
        <f>(E46+G46+I46)/B46</f>
        <v>0</v>
      </c>
      <c r="M46" s="80">
        <f>((E46*3)+(G46*4)+(I46*5)+(C46*2))/B46</f>
        <v>2</v>
      </c>
      <c r="N46" s="116">
        <f>15/B46</f>
        <v>15</v>
      </c>
    </row>
    <row r="47" spans="1:16" s="82" customFormat="1" ht="9.75" customHeight="1" x14ac:dyDescent="0.25">
      <c r="A47" s="76"/>
      <c r="B47" s="77"/>
      <c r="C47" s="78"/>
      <c r="D47" s="79"/>
      <c r="E47" s="78"/>
      <c r="F47" s="79"/>
      <c r="G47" s="78"/>
      <c r="H47" s="79"/>
      <c r="I47" s="78"/>
      <c r="J47" s="79"/>
      <c r="K47" s="79"/>
      <c r="L47" s="79"/>
      <c r="M47" s="80"/>
      <c r="N47" s="81"/>
    </row>
    <row r="48" spans="1:16" s="82" customFormat="1" ht="15" customHeight="1" x14ac:dyDescent="0.25">
      <c r="A48" s="74" t="s">
        <v>68</v>
      </c>
      <c r="B48" s="66">
        <f>SUM(B49:B56)</f>
        <v>14</v>
      </c>
      <c r="C48" s="66">
        <f>SUM(C50:C56)</f>
        <v>8</v>
      </c>
      <c r="D48" s="58">
        <f>C48/B48</f>
        <v>0.5714285714285714</v>
      </c>
      <c r="E48" s="66">
        <f>SUM(E50:E56)</f>
        <v>4</v>
      </c>
      <c r="F48" s="58">
        <f>E48/B48</f>
        <v>0.2857142857142857</v>
      </c>
      <c r="G48" s="66">
        <f>SUM(G50:G56)</f>
        <v>1</v>
      </c>
      <c r="H48" s="58">
        <f>G48/B48</f>
        <v>7.1428571428571425E-2</v>
      </c>
      <c r="I48" s="66">
        <f>SUM(I50:I56)</f>
        <v>0</v>
      </c>
      <c r="J48" s="58">
        <f>I48/B48</f>
        <v>0</v>
      </c>
      <c r="K48" s="58">
        <f>(G48+I48)/B48</f>
        <v>7.1428571428571425E-2</v>
      </c>
      <c r="L48" s="58">
        <f>(E48+G48+I48)/B48</f>
        <v>0.35714285714285715</v>
      </c>
      <c r="M48" s="59">
        <f>((E48*3)+(G48*4)+(I48*5)+(C48*2))/B48</f>
        <v>2.2857142857142856</v>
      </c>
      <c r="N48" s="60">
        <f>586/B48</f>
        <v>41.857142857142854</v>
      </c>
    </row>
    <row r="49" spans="1:16" s="121" customFormat="1" ht="15.75" customHeight="1" x14ac:dyDescent="0.25">
      <c r="A49" s="76" t="s">
        <v>88</v>
      </c>
      <c r="B49" s="68">
        <v>1</v>
      </c>
      <c r="C49" s="68">
        <v>1</v>
      </c>
      <c r="D49" s="69">
        <f>C49/B49</f>
        <v>1</v>
      </c>
      <c r="E49" s="68"/>
      <c r="F49" s="69">
        <f>E49/B49</f>
        <v>0</v>
      </c>
      <c r="G49" s="68"/>
      <c r="H49" s="69"/>
      <c r="I49" s="68"/>
      <c r="J49" s="69"/>
      <c r="K49" s="69">
        <f t="shared" ref="K49:K51" si="21">(G49+I49)/B49</f>
        <v>0</v>
      </c>
      <c r="L49" s="69">
        <f t="shared" ref="L49:L51" si="22">(E49+G49+I49)/B49</f>
        <v>0</v>
      </c>
      <c r="M49" s="70">
        <f t="shared" ref="M49:M51" si="23">((E49*3)+(G49*4)+(I49*5)+(C49*2))/B49</f>
        <v>2</v>
      </c>
      <c r="N49" s="115">
        <f>25/B49</f>
        <v>25</v>
      </c>
      <c r="P49" s="117"/>
    </row>
    <row r="50" spans="1:16" s="110" customFormat="1" ht="15" customHeight="1" x14ac:dyDescent="0.25">
      <c r="A50" s="65" t="s">
        <v>107</v>
      </c>
      <c r="B50" s="68">
        <v>1</v>
      </c>
      <c r="C50" s="68">
        <v>1</v>
      </c>
      <c r="D50" s="69">
        <f>C50/B50</f>
        <v>1</v>
      </c>
      <c r="E50" s="68"/>
      <c r="F50" s="69"/>
      <c r="G50" s="68"/>
      <c r="H50" s="69"/>
      <c r="I50" s="68"/>
      <c r="J50" s="69"/>
      <c r="K50" s="69">
        <f t="shared" si="21"/>
        <v>0</v>
      </c>
      <c r="L50" s="69">
        <f t="shared" si="22"/>
        <v>0</v>
      </c>
      <c r="M50" s="70">
        <f t="shared" si="23"/>
        <v>2</v>
      </c>
      <c r="N50" s="115">
        <f>27/B50</f>
        <v>27</v>
      </c>
      <c r="P50" s="117"/>
    </row>
    <row r="51" spans="1:16" s="117" customFormat="1" ht="15" customHeight="1" x14ac:dyDescent="0.25">
      <c r="A51" s="76" t="s">
        <v>129</v>
      </c>
      <c r="B51" s="68">
        <v>3</v>
      </c>
      <c r="C51" s="68">
        <v>2</v>
      </c>
      <c r="D51" s="69">
        <f>C51/B51</f>
        <v>0.66666666666666663</v>
      </c>
      <c r="E51" s="68">
        <v>1</v>
      </c>
      <c r="F51" s="62">
        <f>E51/B51</f>
        <v>0.33333333333333331</v>
      </c>
      <c r="G51" s="68"/>
      <c r="H51" s="69"/>
      <c r="I51" s="68"/>
      <c r="J51" s="69"/>
      <c r="K51" s="69">
        <f t="shared" si="21"/>
        <v>0</v>
      </c>
      <c r="L51" s="69">
        <f t="shared" si="22"/>
        <v>0.33333333333333331</v>
      </c>
      <c r="M51" s="70">
        <f t="shared" si="23"/>
        <v>2.3333333333333335</v>
      </c>
      <c r="N51" s="115">
        <f>88/B51</f>
        <v>29.333333333333332</v>
      </c>
    </row>
    <row r="52" spans="1:16" s="110" customFormat="1" ht="15" customHeight="1" x14ac:dyDescent="0.25">
      <c r="A52" s="65" t="s">
        <v>133</v>
      </c>
      <c r="B52" s="61">
        <v>1</v>
      </c>
      <c r="C52" s="61"/>
      <c r="D52" s="62"/>
      <c r="E52" s="61">
        <v>1</v>
      </c>
      <c r="F52" s="62">
        <f>E52/B52</f>
        <v>1</v>
      </c>
      <c r="G52" s="61"/>
      <c r="H52" s="62"/>
      <c r="I52" s="61"/>
      <c r="J52" s="62"/>
      <c r="K52" s="62">
        <f>(G52+I52)/B52</f>
        <v>0</v>
      </c>
      <c r="L52" s="62">
        <f>(E52+G52+I52)/B52</f>
        <v>1</v>
      </c>
      <c r="M52" s="63">
        <f>((E52*3)+(G52*4)+(I52*5)+(C52*2))/B52</f>
        <v>3</v>
      </c>
      <c r="N52" s="122">
        <f>39/B52</f>
        <v>39</v>
      </c>
      <c r="P52" s="117"/>
    </row>
    <row r="53" spans="1:16" s="110" customFormat="1" ht="15" customHeight="1" x14ac:dyDescent="0.25">
      <c r="A53" s="65" t="s">
        <v>140</v>
      </c>
      <c r="B53" s="61">
        <v>1</v>
      </c>
      <c r="C53" s="61"/>
      <c r="D53" s="62"/>
      <c r="E53" s="61"/>
      <c r="F53" s="62"/>
      <c r="G53" s="61">
        <v>1</v>
      </c>
      <c r="H53" s="62">
        <f>G53/B53</f>
        <v>1</v>
      </c>
      <c r="I53" s="61"/>
      <c r="J53" s="62"/>
      <c r="K53" s="62">
        <f>(G53+I53)/B53</f>
        <v>1</v>
      </c>
      <c r="L53" s="62">
        <f>(E53+G53+I53)/B53</f>
        <v>1</v>
      </c>
      <c r="M53" s="63">
        <f>((E53*3)+(G53*4)+(I53*5)+(C53*2))/B53</f>
        <v>4</v>
      </c>
      <c r="N53" s="122">
        <f>56/B53</f>
        <v>56</v>
      </c>
      <c r="P53" s="117"/>
    </row>
    <row r="54" spans="1:16" s="87" customFormat="1" ht="15.75" customHeight="1" x14ac:dyDescent="0.25">
      <c r="A54" s="76" t="s">
        <v>229</v>
      </c>
      <c r="B54" s="68">
        <v>1</v>
      </c>
      <c r="C54" s="68"/>
      <c r="D54" s="69"/>
      <c r="E54" s="68">
        <v>1</v>
      </c>
      <c r="F54" s="62">
        <f>E54/B54</f>
        <v>1</v>
      </c>
      <c r="G54" s="68"/>
      <c r="H54" s="69"/>
      <c r="I54" s="68"/>
      <c r="J54" s="69"/>
      <c r="K54" s="69">
        <f t="shared" ref="K54" si="24">(G54+I54)/B54</f>
        <v>0</v>
      </c>
      <c r="L54" s="69">
        <f t="shared" ref="L54" si="25">(E54+G54+I54)/B54</f>
        <v>1</v>
      </c>
      <c r="M54" s="70">
        <f t="shared" ref="M54" si="26">((E54*3)+(G54*4)+(I54*5)+(C54*2))/B54</f>
        <v>3</v>
      </c>
      <c r="N54" s="115">
        <f>53/B54</f>
        <v>53</v>
      </c>
      <c r="O54" s="118"/>
      <c r="P54" s="117"/>
    </row>
    <row r="55" spans="1:16" s="110" customFormat="1" ht="15" customHeight="1" x14ac:dyDescent="0.25">
      <c r="A55" s="65" t="s">
        <v>165</v>
      </c>
      <c r="B55" s="61">
        <v>3</v>
      </c>
      <c r="C55" s="61">
        <v>3</v>
      </c>
      <c r="D55" s="62">
        <f>C55/B55</f>
        <v>1</v>
      </c>
      <c r="E55" s="61"/>
      <c r="F55" s="62"/>
      <c r="G55" s="61"/>
      <c r="H55" s="62"/>
      <c r="I55" s="61"/>
      <c r="J55" s="62"/>
      <c r="K55" s="62">
        <f>(G55+I55)/B55</f>
        <v>0</v>
      </c>
      <c r="L55" s="62">
        <f>(E55+G55+I55)/B55</f>
        <v>0</v>
      </c>
      <c r="M55" s="63">
        <f>((E55*3)+(G55*4)+(I55*5)+(C55*2))/B55</f>
        <v>2</v>
      </c>
      <c r="N55" s="122">
        <f>51/B55</f>
        <v>17</v>
      </c>
      <c r="P55" s="117"/>
    </row>
    <row r="56" spans="1:16" s="110" customFormat="1" ht="15" customHeight="1" x14ac:dyDescent="0.25">
      <c r="A56" s="65" t="s">
        <v>186</v>
      </c>
      <c r="B56" s="61">
        <v>3</v>
      </c>
      <c r="C56" s="61">
        <v>2</v>
      </c>
      <c r="D56" s="62">
        <f>C56/B56</f>
        <v>0.66666666666666663</v>
      </c>
      <c r="E56" s="61">
        <v>1</v>
      </c>
      <c r="F56" s="62">
        <f t="shared" ref="F56" si="27">E56/B56</f>
        <v>0.33333333333333331</v>
      </c>
      <c r="G56" s="61"/>
      <c r="H56" s="62"/>
      <c r="I56" s="61"/>
      <c r="J56" s="62"/>
      <c r="K56" s="62">
        <f>(G56+I56)/B56</f>
        <v>0</v>
      </c>
      <c r="L56" s="62">
        <f>(E56+G56+I56)/B56</f>
        <v>0.33333333333333331</v>
      </c>
      <c r="M56" s="63">
        <f>((E56*3)+(G56*4)+(I56*5)+(C56*2))/B56</f>
        <v>2.3333333333333335</v>
      </c>
      <c r="N56" s="122">
        <f>98/B56</f>
        <v>32.666666666666664</v>
      </c>
      <c r="P56" s="117"/>
    </row>
    <row r="57" spans="1:16" ht="9.75" customHeight="1" x14ac:dyDescent="0.25">
      <c r="A57" s="65"/>
      <c r="B57" s="72"/>
      <c r="C57" s="61"/>
      <c r="D57" s="62"/>
      <c r="E57" s="61"/>
      <c r="F57" s="62"/>
      <c r="G57" s="61"/>
      <c r="H57" s="62"/>
      <c r="I57" s="61"/>
      <c r="J57" s="62"/>
      <c r="K57" s="62"/>
      <c r="L57" s="62"/>
      <c r="M57" s="63"/>
      <c r="N57" s="64"/>
      <c r="P57" s="82"/>
    </row>
    <row r="58" spans="1:16" ht="15" customHeight="1" x14ac:dyDescent="0.25">
      <c r="A58" s="74" t="s">
        <v>69</v>
      </c>
      <c r="B58" s="66">
        <f>SUM(B59:B63)</f>
        <v>10</v>
      </c>
      <c r="C58" s="66">
        <f>SUM(C59:C63)</f>
        <v>1</v>
      </c>
      <c r="D58" s="58">
        <f>C58/B58</f>
        <v>0.1</v>
      </c>
      <c r="E58" s="66">
        <f>SUM(E59:E63)</f>
        <v>5</v>
      </c>
      <c r="F58" s="58">
        <f t="shared" ref="F58:F63" si="28">E58/B58</f>
        <v>0.5</v>
      </c>
      <c r="G58" s="66">
        <f>SUM(G59:G63)</f>
        <v>4</v>
      </c>
      <c r="H58" s="58">
        <f>G58/B58</f>
        <v>0.4</v>
      </c>
      <c r="I58" s="66">
        <f>SUM(I59:I63)</f>
        <v>0</v>
      </c>
      <c r="J58" s="58">
        <f>I58/B58</f>
        <v>0</v>
      </c>
      <c r="K58" s="58">
        <f>(G58+I58)/B58</f>
        <v>0.4</v>
      </c>
      <c r="L58" s="58">
        <f>(E58+G58+I58)/B58</f>
        <v>0.9</v>
      </c>
      <c r="M58" s="59">
        <f>((E58*3)+(G58*4)+(I58*5)+(C58*2))/B58</f>
        <v>3.3</v>
      </c>
      <c r="N58" s="60">
        <f>452/B58</f>
        <v>45.2</v>
      </c>
      <c r="P58" s="82"/>
    </row>
    <row r="59" spans="1:16" s="87" customFormat="1" ht="15.75" customHeight="1" x14ac:dyDescent="0.25">
      <c r="A59" s="76" t="s">
        <v>97</v>
      </c>
      <c r="B59" s="68">
        <v>3</v>
      </c>
      <c r="C59" s="68"/>
      <c r="D59" s="69"/>
      <c r="E59" s="68">
        <v>2</v>
      </c>
      <c r="F59" s="69">
        <f>E59/B59</f>
        <v>0.66666666666666663</v>
      </c>
      <c r="G59" s="68">
        <v>1</v>
      </c>
      <c r="H59" s="69">
        <f>G59/B59</f>
        <v>0.33333333333333331</v>
      </c>
      <c r="I59" s="68"/>
      <c r="J59" s="69"/>
      <c r="K59" s="69">
        <f t="shared" ref="K59:K60" si="29">(G59+I59)/B59</f>
        <v>0.33333333333333331</v>
      </c>
      <c r="L59" s="69">
        <f t="shared" ref="L59:L60" si="30">(E59+G59+I59)/B59</f>
        <v>1</v>
      </c>
      <c r="M59" s="70">
        <f t="shared" ref="M59:M60" si="31">((E59*3)+(G59*4)+(I59*5)+(C59*2))/B59</f>
        <v>3.3333333333333335</v>
      </c>
      <c r="N59" s="115">
        <f>139/B59</f>
        <v>46.333333333333336</v>
      </c>
      <c r="P59" s="117"/>
    </row>
    <row r="60" spans="1:16" s="87" customFormat="1" ht="15.75" customHeight="1" x14ac:dyDescent="0.25">
      <c r="A60" s="76" t="s">
        <v>107</v>
      </c>
      <c r="B60" s="68">
        <v>2</v>
      </c>
      <c r="C60" s="68"/>
      <c r="D60" s="69"/>
      <c r="E60" s="68">
        <v>1</v>
      </c>
      <c r="F60" s="69">
        <f>E60/B60</f>
        <v>0.5</v>
      </c>
      <c r="G60" s="68">
        <v>1</v>
      </c>
      <c r="H60" s="69">
        <f>G60/B60</f>
        <v>0.5</v>
      </c>
      <c r="I60" s="68"/>
      <c r="J60" s="69"/>
      <c r="K60" s="69">
        <f t="shared" si="29"/>
        <v>0.5</v>
      </c>
      <c r="L60" s="69">
        <f t="shared" si="30"/>
        <v>1</v>
      </c>
      <c r="M60" s="70">
        <f t="shared" si="31"/>
        <v>3.5</v>
      </c>
      <c r="N60" s="115">
        <f>102/B60</f>
        <v>51</v>
      </c>
      <c r="P60" s="117"/>
    </row>
    <row r="61" spans="1:16" s="101" customFormat="1" ht="14.25" customHeight="1" x14ac:dyDescent="0.25">
      <c r="A61" s="76" t="s">
        <v>229</v>
      </c>
      <c r="B61" s="61">
        <v>1</v>
      </c>
      <c r="C61" s="61"/>
      <c r="D61" s="79"/>
      <c r="E61" s="61">
        <v>1</v>
      </c>
      <c r="F61" s="62">
        <f>E61/B61</f>
        <v>1</v>
      </c>
      <c r="G61" s="61"/>
      <c r="H61" s="62"/>
      <c r="I61" s="61"/>
      <c r="J61" s="62"/>
      <c r="K61" s="62">
        <f>(G61+I61)/B61</f>
        <v>0</v>
      </c>
      <c r="L61" s="62">
        <f>(E61+G61+I61)/B61</f>
        <v>1</v>
      </c>
      <c r="M61" s="63">
        <f>((E61*3)+(G61*4)+(I61*5)+(C61*2))/B61</f>
        <v>3</v>
      </c>
      <c r="N61" s="122">
        <f>37/B61</f>
        <v>37</v>
      </c>
      <c r="P61" s="117"/>
    </row>
    <row r="62" spans="1:16" s="110" customFormat="1" ht="15" customHeight="1" x14ac:dyDescent="0.25">
      <c r="A62" s="65" t="s">
        <v>165</v>
      </c>
      <c r="B62" s="61">
        <v>1</v>
      </c>
      <c r="C62" s="61">
        <v>1</v>
      </c>
      <c r="D62" s="62">
        <f>C62/B62</f>
        <v>1</v>
      </c>
      <c r="E62" s="61"/>
      <c r="F62" s="62"/>
      <c r="G62" s="61"/>
      <c r="H62" s="62"/>
      <c r="I62" s="61"/>
      <c r="J62" s="62"/>
      <c r="K62" s="62">
        <f>(G62+I62)/B62</f>
        <v>0</v>
      </c>
      <c r="L62" s="62">
        <f>(E62+G62+I62)/B62</f>
        <v>0</v>
      </c>
      <c r="M62" s="63">
        <f>((E62*3)+(G62*4)+(I62*5)+(C62*2))/B62</f>
        <v>2</v>
      </c>
      <c r="N62" s="122">
        <f>25/B62</f>
        <v>25</v>
      </c>
      <c r="P62" s="117"/>
    </row>
    <row r="63" spans="1:16" ht="15" customHeight="1" x14ac:dyDescent="0.25">
      <c r="A63" s="65" t="s">
        <v>186</v>
      </c>
      <c r="B63" s="61">
        <v>3</v>
      </c>
      <c r="C63" s="61"/>
      <c r="D63" s="62"/>
      <c r="E63" s="61">
        <v>1</v>
      </c>
      <c r="F63" s="62">
        <f t="shared" si="28"/>
        <v>0.33333333333333331</v>
      </c>
      <c r="G63" s="61">
        <v>2</v>
      </c>
      <c r="H63" s="62">
        <f>G63/B63</f>
        <v>0.66666666666666663</v>
      </c>
      <c r="I63" s="61"/>
      <c r="J63" s="62"/>
      <c r="K63" s="62">
        <f>(G63+I63)/B63</f>
        <v>0.66666666666666663</v>
      </c>
      <c r="L63" s="62">
        <f>(E63+G63+I63)/B63</f>
        <v>1</v>
      </c>
      <c r="M63" s="63">
        <f>((E63*3)+(G63*4)+(I63*5)+(C63*2))/B63</f>
        <v>3.6666666666666665</v>
      </c>
      <c r="N63" s="122">
        <f>149/B63</f>
        <v>49.666666666666664</v>
      </c>
      <c r="P63" s="82"/>
    </row>
    <row r="64" spans="1:16" ht="15" customHeight="1" x14ac:dyDescent="0.25">
      <c r="A64" s="65"/>
      <c r="B64" s="61"/>
      <c r="C64" s="61"/>
      <c r="D64" s="62"/>
      <c r="E64" s="61"/>
      <c r="F64" s="62"/>
      <c r="G64" s="61"/>
      <c r="H64" s="62"/>
      <c r="I64" s="61"/>
      <c r="J64" s="62"/>
      <c r="K64" s="62"/>
      <c r="L64" s="62"/>
      <c r="M64" s="63"/>
      <c r="N64" s="122"/>
      <c r="P64" s="82"/>
    </row>
    <row r="65" spans="1:16" ht="15" customHeight="1" x14ac:dyDescent="0.25">
      <c r="A65" s="74" t="s">
        <v>236</v>
      </c>
      <c r="B65" s="66">
        <f>SUM(B66:B67)</f>
        <v>2</v>
      </c>
      <c r="C65" s="66">
        <f>SUM(C66:C67)</f>
        <v>2</v>
      </c>
      <c r="D65" s="58">
        <f>C65/B65</f>
        <v>1</v>
      </c>
      <c r="E65" s="66">
        <f>SUM(E66:E67)</f>
        <v>0</v>
      </c>
      <c r="F65" s="58">
        <f t="shared" ref="F65" si="32">E65/B65</f>
        <v>0</v>
      </c>
      <c r="G65" s="66">
        <f>SUM(G66:G67)</f>
        <v>0</v>
      </c>
      <c r="H65" s="58">
        <f>G65/B65</f>
        <v>0</v>
      </c>
      <c r="I65" s="66">
        <f>SUM(I66:I67)</f>
        <v>0</v>
      </c>
      <c r="J65" s="58">
        <f>I65/B65</f>
        <v>0</v>
      </c>
      <c r="K65" s="58">
        <f>(G65+I65)/B65</f>
        <v>0</v>
      </c>
      <c r="L65" s="58">
        <f>(E65+G65+I65)/B65</f>
        <v>0</v>
      </c>
      <c r="M65" s="59">
        <f>((E65*3)+(G65*4)+(I65*5)+(C65*2))/B65</f>
        <v>2</v>
      </c>
      <c r="N65" s="60">
        <f>22/B65</f>
        <v>11</v>
      </c>
      <c r="P65" s="82"/>
    </row>
    <row r="66" spans="1:16" s="87" customFormat="1" ht="15.75" customHeight="1" x14ac:dyDescent="0.25">
      <c r="A66" s="76" t="s">
        <v>227</v>
      </c>
      <c r="B66" s="114">
        <v>1</v>
      </c>
      <c r="C66" s="68">
        <v>1</v>
      </c>
      <c r="D66" s="69">
        <f>C66/B66</f>
        <v>1</v>
      </c>
      <c r="E66" s="68"/>
      <c r="F66" s="69"/>
      <c r="G66" s="68"/>
      <c r="H66" s="69"/>
      <c r="I66" s="68"/>
      <c r="J66" s="69"/>
      <c r="K66" s="69">
        <f t="shared" ref="K66" si="33">(G66+I66)/B66</f>
        <v>0</v>
      </c>
      <c r="L66" s="69">
        <f t="shared" ref="L66" si="34">(E66+G66+I66)/B66</f>
        <v>0</v>
      </c>
      <c r="M66" s="70">
        <f t="shared" ref="M66" si="35">((E66*3)+(G66*4)+(I66*5)+(C66*2))/B66</f>
        <v>2</v>
      </c>
      <c r="N66" s="115">
        <f>10/B66</f>
        <v>10</v>
      </c>
      <c r="O66" s="118"/>
      <c r="P66" s="117"/>
    </row>
    <row r="67" spans="1:16" s="110" customFormat="1" ht="15" customHeight="1" x14ac:dyDescent="0.25">
      <c r="A67" s="65" t="s">
        <v>165</v>
      </c>
      <c r="B67" s="61">
        <v>1</v>
      </c>
      <c r="C67" s="61">
        <v>1</v>
      </c>
      <c r="D67" s="62">
        <f>C67/B67</f>
        <v>1</v>
      </c>
      <c r="E67" s="61"/>
      <c r="F67" s="62"/>
      <c r="G67" s="61"/>
      <c r="H67" s="62"/>
      <c r="I67" s="61"/>
      <c r="J67" s="62"/>
      <c r="K67" s="62">
        <f>(G67+I67)/B67</f>
        <v>0</v>
      </c>
      <c r="L67" s="62">
        <f>(E67+G67+I67)/B67</f>
        <v>0</v>
      </c>
      <c r="M67" s="63">
        <f>((E67*3)+(G67*4)+(I67*5)+(C67*2))/B67</f>
        <v>2</v>
      </c>
      <c r="N67" s="122">
        <f>12/B67</f>
        <v>12</v>
      </c>
      <c r="P67" s="117"/>
    </row>
    <row r="68" spans="1:16" ht="9.75" customHeight="1" x14ac:dyDescent="0.25">
      <c r="A68" s="65"/>
      <c r="B68" s="72"/>
      <c r="C68" s="61"/>
      <c r="D68" s="62"/>
      <c r="E68" s="61"/>
      <c r="F68" s="62"/>
      <c r="G68" s="61"/>
      <c r="H68" s="62"/>
      <c r="I68" s="61"/>
      <c r="J68" s="62"/>
      <c r="K68" s="62"/>
      <c r="L68" s="62"/>
      <c r="M68" s="63"/>
      <c r="N68" s="64"/>
      <c r="P68" s="82"/>
    </row>
    <row r="69" spans="1:16" s="82" customFormat="1" ht="15" customHeight="1" x14ac:dyDescent="0.25">
      <c r="A69" s="74" t="s">
        <v>70</v>
      </c>
      <c r="B69" s="66">
        <f>SUM(B70:B79)</f>
        <v>36</v>
      </c>
      <c r="C69" s="66">
        <f>SUM(C70:C79)</f>
        <v>32</v>
      </c>
      <c r="D69" s="58">
        <f t="shared" ref="D69:D79" si="36">C69/B69</f>
        <v>0.88888888888888884</v>
      </c>
      <c r="E69" s="66">
        <f>SUM(E70:E79)</f>
        <v>3</v>
      </c>
      <c r="F69" s="58">
        <f>E69/B69</f>
        <v>8.3333333333333329E-2</v>
      </c>
      <c r="G69" s="66">
        <f>SUM(G70:G79)</f>
        <v>1</v>
      </c>
      <c r="H69" s="58">
        <f>G69/B69</f>
        <v>2.7777777777777776E-2</v>
      </c>
      <c r="I69" s="66">
        <f>SUM(I70:I79)</f>
        <v>0</v>
      </c>
      <c r="J69" s="58">
        <f>I69/B69</f>
        <v>0</v>
      </c>
      <c r="K69" s="58">
        <f>(G69+I69)/B69</f>
        <v>2.7777777777777776E-2</v>
      </c>
      <c r="L69" s="58">
        <f>(E69+G69+I69)/B69</f>
        <v>0.1111111111111111</v>
      </c>
      <c r="M69" s="59">
        <f>((E69*3)+(G69*4)+(I69*5)+(C69*2))/B69</f>
        <v>2.1388888888888888</v>
      </c>
      <c r="N69" s="60">
        <f>913/B69</f>
        <v>25.361111111111111</v>
      </c>
    </row>
    <row r="70" spans="1:16" s="117" customFormat="1" ht="15" customHeight="1" x14ac:dyDescent="0.25">
      <c r="A70" s="76" t="s">
        <v>97</v>
      </c>
      <c r="B70" s="68">
        <v>6</v>
      </c>
      <c r="C70" s="68">
        <v>6</v>
      </c>
      <c r="D70" s="69">
        <f>C70/B70</f>
        <v>1</v>
      </c>
      <c r="E70" s="68"/>
      <c r="F70" s="69"/>
      <c r="G70" s="68"/>
      <c r="H70" s="69"/>
      <c r="I70" s="68"/>
      <c r="J70" s="69"/>
      <c r="K70" s="69">
        <f t="shared" ref="K70:K72" si="37">(G70+I70)/B70</f>
        <v>0</v>
      </c>
      <c r="L70" s="69">
        <f t="shared" ref="L70:L72" si="38">(E70+G70+I70)/B70</f>
        <v>0</v>
      </c>
      <c r="M70" s="70">
        <f t="shared" ref="M70:M72" si="39">((E70*3)+(G70*4)+(I70*5)+(C70*2))/B70</f>
        <v>2</v>
      </c>
      <c r="N70" s="115">
        <f>122/B70</f>
        <v>20.333333333333332</v>
      </c>
    </row>
    <row r="71" spans="1:16" s="117" customFormat="1" ht="15" customHeight="1" x14ac:dyDescent="0.25">
      <c r="A71" s="76" t="s">
        <v>107</v>
      </c>
      <c r="B71" s="68">
        <v>9</v>
      </c>
      <c r="C71" s="68">
        <v>6</v>
      </c>
      <c r="D71" s="69">
        <f>C71/B71</f>
        <v>0.66666666666666663</v>
      </c>
      <c r="E71" s="68">
        <v>2</v>
      </c>
      <c r="F71" s="69">
        <f>E71/B71</f>
        <v>0.22222222222222221</v>
      </c>
      <c r="G71" s="68">
        <v>1</v>
      </c>
      <c r="H71" s="69">
        <f>G71/B71</f>
        <v>0.1111111111111111</v>
      </c>
      <c r="I71" s="68"/>
      <c r="J71" s="69"/>
      <c r="K71" s="69">
        <f t="shared" si="37"/>
        <v>0.1111111111111111</v>
      </c>
      <c r="L71" s="69">
        <f t="shared" si="38"/>
        <v>0.33333333333333331</v>
      </c>
      <c r="M71" s="70">
        <f t="shared" si="39"/>
        <v>2.4444444444444446</v>
      </c>
      <c r="N71" s="115">
        <f>313/B71</f>
        <v>34.777777777777779</v>
      </c>
    </row>
    <row r="72" spans="1:16" s="117" customFormat="1" ht="15" customHeight="1" x14ac:dyDescent="0.25">
      <c r="A72" s="76" t="s">
        <v>129</v>
      </c>
      <c r="B72" s="68">
        <v>2</v>
      </c>
      <c r="C72" s="68">
        <v>2</v>
      </c>
      <c r="D72" s="69">
        <f>C72/B72</f>
        <v>1</v>
      </c>
      <c r="E72" s="68"/>
      <c r="F72" s="69"/>
      <c r="G72" s="68"/>
      <c r="H72" s="69"/>
      <c r="I72" s="68"/>
      <c r="J72" s="69"/>
      <c r="K72" s="69">
        <f t="shared" si="37"/>
        <v>0</v>
      </c>
      <c r="L72" s="69">
        <f t="shared" si="38"/>
        <v>0</v>
      </c>
      <c r="M72" s="70">
        <f t="shared" si="39"/>
        <v>2</v>
      </c>
      <c r="N72" s="115">
        <f>22/B72</f>
        <v>11</v>
      </c>
    </row>
    <row r="73" spans="1:16" s="117" customFormat="1" ht="15" customHeight="1" x14ac:dyDescent="0.25">
      <c r="A73" s="76" t="s">
        <v>133</v>
      </c>
      <c r="B73" s="78">
        <v>1</v>
      </c>
      <c r="C73" s="78">
        <v>1</v>
      </c>
      <c r="D73" s="79">
        <f t="shared" si="36"/>
        <v>1</v>
      </c>
      <c r="E73" s="78"/>
      <c r="F73" s="79"/>
      <c r="G73" s="78"/>
      <c r="H73" s="79"/>
      <c r="I73" s="78"/>
      <c r="J73" s="79"/>
      <c r="K73" s="79">
        <f t="shared" ref="K73:K79" si="40">(G73+I73)/B73</f>
        <v>0</v>
      </c>
      <c r="L73" s="79">
        <f t="shared" ref="L73:L79" si="41">(E73+G73+I73)/B73</f>
        <v>0</v>
      </c>
      <c r="M73" s="80">
        <f t="shared" ref="M73:M79" si="42">((E73*3)+(G73*4)+(I73*5)+(C73*2))/B73</f>
        <v>2</v>
      </c>
      <c r="N73" s="116">
        <f>37/B73</f>
        <v>37</v>
      </c>
    </row>
    <row r="74" spans="1:16" s="117" customFormat="1" ht="15" customHeight="1" x14ac:dyDescent="0.25">
      <c r="A74" s="76" t="s">
        <v>227</v>
      </c>
      <c r="B74" s="78">
        <v>2</v>
      </c>
      <c r="C74" s="78">
        <v>2</v>
      </c>
      <c r="D74" s="79">
        <f t="shared" si="36"/>
        <v>1</v>
      </c>
      <c r="E74" s="78"/>
      <c r="F74" s="79"/>
      <c r="G74" s="78"/>
      <c r="H74" s="79"/>
      <c r="I74" s="78"/>
      <c r="J74" s="79"/>
      <c r="K74" s="79">
        <f t="shared" si="40"/>
        <v>0</v>
      </c>
      <c r="L74" s="79">
        <f t="shared" si="41"/>
        <v>0</v>
      </c>
      <c r="M74" s="80">
        <f t="shared" si="42"/>
        <v>2</v>
      </c>
      <c r="N74" s="116">
        <f>54/B74</f>
        <v>27</v>
      </c>
    </row>
    <row r="75" spans="1:16" s="117" customFormat="1" ht="15" customHeight="1" x14ac:dyDescent="0.25">
      <c r="A75" s="76" t="s">
        <v>146</v>
      </c>
      <c r="B75" s="78">
        <v>1</v>
      </c>
      <c r="C75" s="78"/>
      <c r="D75" s="79"/>
      <c r="E75" s="78">
        <v>1</v>
      </c>
      <c r="F75" s="79">
        <f>E75/B75</f>
        <v>1</v>
      </c>
      <c r="G75" s="78"/>
      <c r="H75" s="79"/>
      <c r="I75" s="78"/>
      <c r="J75" s="79"/>
      <c r="K75" s="79">
        <f t="shared" si="40"/>
        <v>0</v>
      </c>
      <c r="L75" s="79">
        <f t="shared" si="41"/>
        <v>1</v>
      </c>
      <c r="M75" s="80">
        <f t="shared" si="42"/>
        <v>3</v>
      </c>
      <c r="N75" s="116">
        <f>45/B75</f>
        <v>45</v>
      </c>
    </row>
    <row r="76" spans="1:16" s="117" customFormat="1" ht="15" customHeight="1" x14ac:dyDescent="0.25">
      <c r="A76" s="76" t="s">
        <v>152</v>
      </c>
      <c r="B76" s="78">
        <v>2</v>
      </c>
      <c r="C76" s="78">
        <v>2</v>
      </c>
      <c r="D76" s="79">
        <f t="shared" si="36"/>
        <v>1</v>
      </c>
      <c r="E76" s="78"/>
      <c r="F76" s="79"/>
      <c r="G76" s="78"/>
      <c r="H76" s="79"/>
      <c r="I76" s="78"/>
      <c r="J76" s="79"/>
      <c r="K76" s="79">
        <f t="shared" si="40"/>
        <v>0</v>
      </c>
      <c r="L76" s="79">
        <f t="shared" si="41"/>
        <v>0</v>
      </c>
      <c r="M76" s="80">
        <f t="shared" si="42"/>
        <v>2</v>
      </c>
      <c r="N76" s="116">
        <f>47/B76</f>
        <v>23.5</v>
      </c>
    </row>
    <row r="77" spans="1:16" s="101" customFormat="1" ht="14.25" customHeight="1" x14ac:dyDescent="0.25">
      <c r="A77" s="76" t="s">
        <v>229</v>
      </c>
      <c r="B77" s="61">
        <v>3</v>
      </c>
      <c r="C77" s="61">
        <v>3</v>
      </c>
      <c r="D77" s="79">
        <f t="shared" si="36"/>
        <v>1</v>
      </c>
      <c r="E77" s="61"/>
      <c r="F77" s="62"/>
      <c r="G77" s="61"/>
      <c r="H77" s="62"/>
      <c r="I77" s="61"/>
      <c r="J77" s="62"/>
      <c r="K77" s="62">
        <f t="shared" si="40"/>
        <v>0</v>
      </c>
      <c r="L77" s="62">
        <f t="shared" si="41"/>
        <v>0</v>
      </c>
      <c r="M77" s="63">
        <f t="shared" si="42"/>
        <v>2</v>
      </c>
      <c r="N77" s="122">
        <f>70/B77</f>
        <v>23.333333333333332</v>
      </c>
      <c r="P77" s="117"/>
    </row>
    <row r="78" spans="1:16" s="117" customFormat="1" ht="15" customHeight="1" x14ac:dyDescent="0.25">
      <c r="A78" s="76" t="s">
        <v>165</v>
      </c>
      <c r="B78" s="78">
        <v>7</v>
      </c>
      <c r="C78" s="78">
        <v>7</v>
      </c>
      <c r="D78" s="79">
        <f t="shared" si="36"/>
        <v>1</v>
      </c>
      <c r="E78" s="78"/>
      <c r="F78" s="79"/>
      <c r="G78" s="78"/>
      <c r="H78" s="79"/>
      <c r="I78" s="78"/>
      <c r="J78" s="79"/>
      <c r="K78" s="79">
        <f t="shared" si="40"/>
        <v>0</v>
      </c>
      <c r="L78" s="79">
        <f t="shared" si="41"/>
        <v>0</v>
      </c>
      <c r="M78" s="80">
        <f t="shared" si="42"/>
        <v>2</v>
      </c>
      <c r="N78" s="116">
        <f>138/B78</f>
        <v>19.714285714285715</v>
      </c>
    </row>
    <row r="79" spans="1:16" s="117" customFormat="1" ht="15" customHeight="1" x14ac:dyDescent="0.25">
      <c r="A79" s="76" t="s">
        <v>186</v>
      </c>
      <c r="B79" s="78">
        <v>3</v>
      </c>
      <c r="C79" s="78">
        <v>3</v>
      </c>
      <c r="D79" s="79">
        <f t="shared" si="36"/>
        <v>1</v>
      </c>
      <c r="E79" s="78"/>
      <c r="F79" s="79"/>
      <c r="G79" s="78"/>
      <c r="H79" s="79"/>
      <c r="I79" s="78"/>
      <c r="J79" s="79"/>
      <c r="K79" s="79">
        <f t="shared" si="40"/>
        <v>0</v>
      </c>
      <c r="L79" s="79">
        <f t="shared" si="41"/>
        <v>0</v>
      </c>
      <c r="M79" s="80">
        <f t="shared" si="42"/>
        <v>2</v>
      </c>
      <c r="N79" s="116">
        <f>65/B79</f>
        <v>21.666666666666668</v>
      </c>
    </row>
    <row r="80" spans="1:16" s="82" customFormat="1" ht="9.75" customHeight="1" x14ac:dyDescent="0.25">
      <c r="A80" s="76"/>
      <c r="B80" s="77"/>
      <c r="C80" s="78"/>
      <c r="D80" s="79"/>
      <c r="E80" s="78"/>
      <c r="F80" s="79"/>
      <c r="G80" s="78"/>
      <c r="H80" s="79"/>
      <c r="I80" s="78"/>
      <c r="J80" s="79"/>
      <c r="K80" s="79"/>
      <c r="L80" s="79"/>
      <c r="M80" s="80"/>
      <c r="N80" s="81"/>
    </row>
    <row r="81" spans="1:16" s="102" customFormat="1" ht="14.25" customHeight="1" x14ac:dyDescent="0.25">
      <c r="A81" s="74" t="s">
        <v>71</v>
      </c>
      <c r="B81" s="66">
        <f>B82+B83</f>
        <v>5</v>
      </c>
      <c r="C81" s="66">
        <f>C82+C83</f>
        <v>2</v>
      </c>
      <c r="D81" s="58">
        <f>C81/B81</f>
        <v>0.4</v>
      </c>
      <c r="E81" s="66">
        <f>E82+E83</f>
        <v>2</v>
      </c>
      <c r="F81" s="58">
        <f>E81/B81</f>
        <v>0.4</v>
      </c>
      <c r="G81" s="66">
        <f>G82+G83</f>
        <v>1</v>
      </c>
      <c r="H81" s="58">
        <f>G81/B81</f>
        <v>0.2</v>
      </c>
      <c r="I81" s="66">
        <f>I82+I83</f>
        <v>0</v>
      </c>
      <c r="J81" s="58">
        <f>I81/B81</f>
        <v>0</v>
      </c>
      <c r="K81" s="58">
        <f t="shared" ref="K81:K82" si="43">(G81+I81)/B81</f>
        <v>0.2</v>
      </c>
      <c r="L81" s="58">
        <f t="shared" ref="L81:L82" si="44">(E81+G81+I81)/B81</f>
        <v>0.6</v>
      </c>
      <c r="M81" s="59">
        <f t="shared" ref="M81:M82" si="45">((E81*3)+(G81*4)+(I81*5)+(C81*2))/B81</f>
        <v>2.8</v>
      </c>
      <c r="N81" s="60">
        <f>166/B81</f>
        <v>33.200000000000003</v>
      </c>
      <c r="P81" s="82"/>
    </row>
    <row r="82" spans="1:16" s="101" customFormat="1" ht="14.25" customHeight="1" x14ac:dyDescent="0.25">
      <c r="A82" s="76" t="s">
        <v>107</v>
      </c>
      <c r="B82" s="68">
        <v>4</v>
      </c>
      <c r="C82" s="68">
        <v>2</v>
      </c>
      <c r="D82" s="69">
        <f>C82/B82</f>
        <v>0.5</v>
      </c>
      <c r="E82" s="68">
        <v>1</v>
      </c>
      <c r="F82" s="69">
        <f>E82/B82</f>
        <v>0.25</v>
      </c>
      <c r="G82" s="68">
        <v>1</v>
      </c>
      <c r="H82" s="69">
        <f>G82/B82</f>
        <v>0.25</v>
      </c>
      <c r="I82" s="68"/>
      <c r="J82" s="69"/>
      <c r="K82" s="69">
        <f t="shared" si="43"/>
        <v>0.25</v>
      </c>
      <c r="L82" s="69">
        <f t="shared" si="44"/>
        <v>0.5</v>
      </c>
      <c r="M82" s="70">
        <f t="shared" si="45"/>
        <v>2.75</v>
      </c>
      <c r="N82" s="115">
        <f>121/B82</f>
        <v>30.25</v>
      </c>
      <c r="P82" s="117"/>
    </row>
    <row r="83" spans="1:16" s="117" customFormat="1" ht="15" customHeight="1" x14ac:dyDescent="0.25">
      <c r="A83" s="76" t="s">
        <v>146</v>
      </c>
      <c r="B83" s="78">
        <v>1</v>
      </c>
      <c r="C83" s="78"/>
      <c r="D83" s="79"/>
      <c r="E83" s="78">
        <v>1</v>
      </c>
      <c r="F83" s="79">
        <f>E83/B83</f>
        <v>1</v>
      </c>
      <c r="G83" s="78"/>
      <c r="H83" s="79"/>
      <c r="I83" s="78"/>
      <c r="J83" s="79"/>
      <c r="K83" s="79">
        <f>(G83+I83)/B83</f>
        <v>0</v>
      </c>
      <c r="L83" s="79">
        <f>(E83+G83+I83)/B83</f>
        <v>1</v>
      </c>
      <c r="M83" s="80">
        <f>((E83*3)+(G83*4)+(I83*5)+(C83*2))/B83</f>
        <v>3</v>
      </c>
      <c r="N83" s="116">
        <f>45/B83</f>
        <v>45</v>
      </c>
    </row>
    <row r="84" spans="1:16" s="101" customFormat="1" ht="9.75" customHeight="1" thickBot="1" x14ac:dyDescent="0.3">
      <c r="A84" s="76"/>
      <c r="B84" s="72"/>
      <c r="C84" s="61"/>
      <c r="D84" s="62"/>
      <c r="E84" s="61"/>
      <c r="F84" s="62"/>
      <c r="G84" s="61"/>
      <c r="H84" s="62"/>
      <c r="I84" s="61"/>
      <c r="J84" s="62"/>
      <c r="K84" s="62"/>
      <c r="L84" s="62"/>
      <c r="M84" s="63"/>
      <c r="N84" s="64"/>
      <c r="P84" s="82"/>
    </row>
    <row r="85" spans="1:16" ht="13.5" thickBot="1" x14ac:dyDescent="0.3">
      <c r="A85" s="103" t="s">
        <v>213</v>
      </c>
      <c r="B85" s="104">
        <f>B81+B69+B58+B48+B39+B33+B23+B9+B65</f>
        <v>140</v>
      </c>
      <c r="C85" s="104">
        <f>C81+C69+C58+C48+C39+C33+C23+C9</f>
        <v>73</v>
      </c>
      <c r="D85" s="105">
        <f t="shared" ref="D85" si="46">C85/B85</f>
        <v>0.52142857142857146</v>
      </c>
      <c r="E85" s="104">
        <f>E81+E69+E58+E48+E39+E33+E23+E9</f>
        <v>49</v>
      </c>
      <c r="F85" s="105">
        <f>E85/B85</f>
        <v>0.35</v>
      </c>
      <c r="G85" s="104">
        <f>G81+G69+G58+G48+G39+G33+G23+G9</f>
        <v>14</v>
      </c>
      <c r="H85" s="106">
        <f>G85/B85</f>
        <v>0.1</v>
      </c>
      <c r="I85" s="104">
        <f>I81+I69+I58+I48+I39+I33+I23+I9</f>
        <v>1</v>
      </c>
      <c r="J85" s="105">
        <f>I85/B85</f>
        <v>7.1428571428571426E-3</v>
      </c>
      <c r="K85" s="105">
        <f>(G85+I85)/B85</f>
        <v>0.10714285714285714</v>
      </c>
      <c r="L85" s="105">
        <f>(E85+G85+I85)/B85</f>
        <v>0.45714285714285713</v>
      </c>
      <c r="M85" s="107">
        <f>((E85*3)+(G85*4)+(I85*5)+(C85*2))/B85</f>
        <v>2.5285714285714285</v>
      </c>
      <c r="N85" s="108">
        <f>4549/B85</f>
        <v>32.49285714285714</v>
      </c>
      <c r="P85" s="82"/>
    </row>
    <row r="86" spans="1:16" ht="12" customHeight="1" x14ac:dyDescent="0.25"/>
    <row r="87" spans="1:16" ht="12" customHeight="1" x14ac:dyDescent="0.25"/>
    <row r="88" spans="1:16" ht="12" customHeight="1" x14ac:dyDescent="0.25"/>
    <row r="89" spans="1:16" ht="12" customHeight="1" x14ac:dyDescent="0.25"/>
    <row r="90" spans="1:16" ht="12" customHeight="1" x14ac:dyDescent="0.25"/>
    <row r="91" spans="1:16" ht="12" customHeight="1" x14ac:dyDescent="0.25"/>
    <row r="92" spans="1:16" ht="12" customHeight="1" x14ac:dyDescent="0.25"/>
  </sheetData>
  <mergeCells count="9">
    <mergeCell ref="A3:N3"/>
    <mergeCell ref="N6:N7"/>
    <mergeCell ref="A2:N2"/>
    <mergeCell ref="A6:A7"/>
    <mergeCell ref="B6:B7"/>
    <mergeCell ref="C6:J6"/>
    <mergeCell ref="K6:K7"/>
    <mergeCell ref="L6:L7"/>
    <mergeCell ref="M6:M7"/>
  </mergeCells>
  <pageMargins left="0.51181102362204722" right="0.31496062992125984" top="0.55118110236220474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4"/>
  <sheetViews>
    <sheetView tabSelected="1" workbookViewId="0">
      <selection activeCell="C6" sqref="C6:J6"/>
    </sheetView>
  </sheetViews>
  <sheetFormatPr defaultRowHeight="12.75" x14ac:dyDescent="0.25"/>
  <cols>
    <col min="1" max="1" width="28.7109375" style="94" customWidth="1"/>
    <col min="2" max="2" width="9.5703125" style="73" customWidth="1"/>
    <col min="3" max="3" width="6.7109375" style="73" customWidth="1"/>
    <col min="4" max="4" width="8" style="73" customWidth="1"/>
    <col min="5" max="5" width="6.7109375" style="73" customWidth="1"/>
    <col min="6" max="6" width="8" style="73" customWidth="1"/>
    <col min="7" max="7" width="6.7109375" style="73" customWidth="1"/>
    <col min="8" max="8" width="8" style="73" customWidth="1"/>
    <col min="9" max="9" width="6.7109375" style="73" customWidth="1"/>
    <col min="10" max="10" width="8" style="73" customWidth="1"/>
    <col min="11" max="14" width="9.7109375" style="73" customWidth="1"/>
    <col min="15" max="16384" width="9.140625" style="73"/>
  </cols>
  <sheetData>
    <row r="2" spans="1:16" s="95" customFormat="1" ht="15" x14ac:dyDescent="0.25">
      <c r="A2" s="164" t="s">
        <v>215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6" s="95" customFormat="1" ht="15" x14ac:dyDescent="0.25">
      <c r="A3" s="164" t="s">
        <v>235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6" s="95" customFormat="1" ht="15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6" spans="1:16" s="96" customFormat="1" ht="32.25" customHeight="1" x14ac:dyDescent="0.25">
      <c r="A6" s="163" t="s">
        <v>0</v>
      </c>
      <c r="B6" s="163" t="s">
        <v>217</v>
      </c>
      <c r="C6" s="163" t="s">
        <v>218</v>
      </c>
      <c r="D6" s="163"/>
      <c r="E6" s="163"/>
      <c r="F6" s="163"/>
      <c r="G6" s="163"/>
      <c r="H6" s="163"/>
      <c r="I6" s="163"/>
      <c r="J6" s="163"/>
      <c r="K6" s="163" t="s">
        <v>219</v>
      </c>
      <c r="L6" s="163" t="s">
        <v>220</v>
      </c>
      <c r="M6" s="163" t="s">
        <v>221</v>
      </c>
      <c r="N6" s="163" t="s">
        <v>41</v>
      </c>
    </row>
    <row r="7" spans="1:16" s="96" customFormat="1" ht="18" customHeight="1" x14ac:dyDescent="0.25">
      <c r="A7" s="163"/>
      <c r="B7" s="163"/>
      <c r="C7" s="92" t="s">
        <v>222</v>
      </c>
      <c r="D7" s="92" t="s">
        <v>10</v>
      </c>
      <c r="E7" s="92" t="s">
        <v>223</v>
      </c>
      <c r="F7" s="92" t="s">
        <v>10</v>
      </c>
      <c r="G7" s="92" t="s">
        <v>224</v>
      </c>
      <c r="H7" s="92" t="s">
        <v>10</v>
      </c>
      <c r="I7" s="92" t="s">
        <v>225</v>
      </c>
      <c r="J7" s="92" t="s">
        <v>10</v>
      </c>
      <c r="K7" s="163"/>
      <c r="L7" s="163"/>
      <c r="M7" s="163"/>
      <c r="N7" s="163"/>
    </row>
    <row r="8" spans="1:16" s="98" customFormat="1" ht="10.5" customHeigh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6" s="82" customFormat="1" ht="15" customHeight="1" x14ac:dyDescent="0.25">
      <c r="A9" s="99" t="s">
        <v>64</v>
      </c>
      <c r="B9" s="83">
        <f>SUM(B10:B19)</f>
        <v>40</v>
      </c>
      <c r="C9" s="83">
        <f>SUM(C10:C19)</f>
        <v>17</v>
      </c>
      <c r="D9" s="84">
        <f>C9/B9</f>
        <v>0.42499999999999999</v>
      </c>
      <c r="E9" s="83">
        <f>SUM(E10:E19)</f>
        <v>18</v>
      </c>
      <c r="F9" s="84">
        <f>E9/B9</f>
        <v>0.45</v>
      </c>
      <c r="G9" s="83">
        <f>SUM(G10:G19)</f>
        <v>3</v>
      </c>
      <c r="H9" s="84">
        <f>G9/B9</f>
        <v>7.4999999999999997E-2</v>
      </c>
      <c r="I9" s="83">
        <f>SUM(I10:I19)</f>
        <v>2</v>
      </c>
      <c r="J9" s="84">
        <f>I9/B9</f>
        <v>0.05</v>
      </c>
      <c r="K9" s="84">
        <f t="shared" ref="K9:K19" si="0">(G9+I9)/B9</f>
        <v>0.125</v>
      </c>
      <c r="L9" s="84">
        <f t="shared" ref="L9:L19" si="1">(E9+G9+I9)/B9</f>
        <v>0.57499999999999996</v>
      </c>
      <c r="M9" s="85">
        <f t="shared" ref="M9:M19" si="2">((E9*3)+(G9*4)+(I9*5)+(C9*2))/B9</f>
        <v>2.75</v>
      </c>
      <c r="N9" s="86">
        <f>1476/B9</f>
        <v>36.9</v>
      </c>
    </row>
    <row r="10" spans="1:16" s="100" customFormat="1" ht="15.75" customHeight="1" x14ac:dyDescent="0.25">
      <c r="A10" s="76" t="s">
        <v>88</v>
      </c>
      <c r="B10" s="77">
        <v>3</v>
      </c>
      <c r="C10" s="78"/>
      <c r="D10" s="79"/>
      <c r="E10" s="78">
        <v>3</v>
      </c>
      <c r="F10" s="79">
        <f>E10/B10</f>
        <v>1</v>
      </c>
      <c r="G10" s="78"/>
      <c r="H10" s="79"/>
      <c r="I10" s="78"/>
      <c r="J10" s="79"/>
      <c r="K10" s="79">
        <f t="shared" si="0"/>
        <v>0</v>
      </c>
      <c r="L10" s="79">
        <f t="shared" si="1"/>
        <v>1</v>
      </c>
      <c r="M10" s="80">
        <f t="shared" si="2"/>
        <v>3</v>
      </c>
      <c r="N10" s="81">
        <f>147/B10</f>
        <v>49</v>
      </c>
      <c r="P10" s="82"/>
    </row>
    <row r="11" spans="1:16" s="82" customFormat="1" ht="15" customHeight="1" x14ac:dyDescent="0.25">
      <c r="A11" s="76" t="s">
        <v>97</v>
      </c>
      <c r="B11" s="77">
        <v>4</v>
      </c>
      <c r="C11" s="78">
        <v>2</v>
      </c>
      <c r="D11" s="79">
        <f>C11/B11</f>
        <v>0.5</v>
      </c>
      <c r="E11" s="78">
        <v>2</v>
      </c>
      <c r="F11" s="79">
        <f>E11/B11</f>
        <v>0.5</v>
      </c>
      <c r="G11" s="78"/>
      <c r="H11" s="79"/>
      <c r="I11" s="78"/>
      <c r="J11" s="79"/>
      <c r="K11" s="79">
        <f t="shared" si="0"/>
        <v>0</v>
      </c>
      <c r="L11" s="79">
        <f t="shared" si="1"/>
        <v>0.5</v>
      </c>
      <c r="M11" s="80">
        <f t="shared" si="2"/>
        <v>2.5</v>
      </c>
      <c r="N11" s="81">
        <f>129/B11</f>
        <v>32.25</v>
      </c>
    </row>
    <row r="12" spans="1:16" s="82" customFormat="1" ht="15" customHeight="1" x14ac:dyDescent="0.25">
      <c r="A12" s="76" t="s">
        <v>107</v>
      </c>
      <c r="B12" s="77">
        <v>9</v>
      </c>
      <c r="C12" s="78">
        <v>5</v>
      </c>
      <c r="D12" s="79">
        <f>C12/B12</f>
        <v>0.55555555555555558</v>
      </c>
      <c r="E12" s="78">
        <v>3</v>
      </c>
      <c r="F12" s="79">
        <f>E12/B12</f>
        <v>0.33333333333333331</v>
      </c>
      <c r="G12" s="78">
        <v>1</v>
      </c>
      <c r="H12" s="79">
        <f>G12/B12</f>
        <v>0.1111111111111111</v>
      </c>
      <c r="I12" s="78"/>
      <c r="J12" s="79"/>
      <c r="K12" s="79">
        <f t="shared" si="0"/>
        <v>0.1111111111111111</v>
      </c>
      <c r="L12" s="79">
        <f t="shared" si="1"/>
        <v>0.44444444444444442</v>
      </c>
      <c r="M12" s="80">
        <f t="shared" si="2"/>
        <v>2.5555555555555554</v>
      </c>
      <c r="N12" s="81">
        <f>256/B12</f>
        <v>28.444444444444443</v>
      </c>
    </row>
    <row r="13" spans="1:16" s="82" customFormat="1" ht="15" customHeight="1" x14ac:dyDescent="0.25">
      <c r="A13" s="76" t="s">
        <v>129</v>
      </c>
      <c r="B13" s="77">
        <v>1</v>
      </c>
      <c r="C13" s="78">
        <v>1</v>
      </c>
      <c r="D13" s="79">
        <f>C13/B13</f>
        <v>1</v>
      </c>
      <c r="E13" s="78"/>
      <c r="F13" s="79"/>
      <c r="G13" s="78"/>
      <c r="H13" s="79"/>
      <c r="I13" s="78"/>
      <c r="J13" s="79"/>
      <c r="K13" s="79">
        <f t="shared" si="0"/>
        <v>0</v>
      </c>
      <c r="L13" s="79">
        <f t="shared" si="1"/>
        <v>0</v>
      </c>
      <c r="M13" s="80">
        <f t="shared" si="2"/>
        <v>2</v>
      </c>
      <c r="N13" s="81">
        <f>8/B13</f>
        <v>8</v>
      </c>
    </row>
    <row r="14" spans="1:16" s="82" customFormat="1" ht="15" customHeight="1" x14ac:dyDescent="0.25">
      <c r="A14" s="76" t="s">
        <v>133</v>
      </c>
      <c r="B14" s="77">
        <v>2</v>
      </c>
      <c r="C14" s="78"/>
      <c r="D14" s="79"/>
      <c r="E14" s="78">
        <v>1</v>
      </c>
      <c r="F14" s="79">
        <f>E14/B14</f>
        <v>0.5</v>
      </c>
      <c r="G14" s="78"/>
      <c r="H14" s="79"/>
      <c r="I14" s="78">
        <v>1</v>
      </c>
      <c r="J14" s="79">
        <f>I14/B14</f>
        <v>0.5</v>
      </c>
      <c r="K14" s="79">
        <f t="shared" si="0"/>
        <v>0.5</v>
      </c>
      <c r="L14" s="79">
        <f t="shared" si="1"/>
        <v>1</v>
      </c>
      <c r="M14" s="80">
        <f t="shared" si="2"/>
        <v>4</v>
      </c>
      <c r="N14" s="81">
        <f>113/B14</f>
        <v>56.5</v>
      </c>
    </row>
    <row r="15" spans="1:16" s="82" customFormat="1" ht="15" customHeight="1" x14ac:dyDescent="0.25">
      <c r="A15" s="76" t="s">
        <v>140</v>
      </c>
      <c r="B15" s="77">
        <v>2</v>
      </c>
      <c r="C15" s="78">
        <v>1</v>
      </c>
      <c r="D15" s="79">
        <f>C15/B15</f>
        <v>0.5</v>
      </c>
      <c r="E15" s="78">
        <v>1</v>
      </c>
      <c r="F15" s="79">
        <f>E15/B15</f>
        <v>0.5</v>
      </c>
      <c r="G15" s="78"/>
      <c r="H15" s="79"/>
      <c r="I15" s="78"/>
      <c r="J15" s="79"/>
      <c r="K15" s="79">
        <f t="shared" si="0"/>
        <v>0</v>
      </c>
      <c r="L15" s="79">
        <f t="shared" si="1"/>
        <v>0.5</v>
      </c>
      <c r="M15" s="80">
        <f t="shared" si="2"/>
        <v>2.5</v>
      </c>
      <c r="N15" s="81">
        <f>71/B15</f>
        <v>35.5</v>
      </c>
    </row>
    <row r="16" spans="1:16" s="82" customFormat="1" ht="15" customHeight="1" x14ac:dyDescent="0.25">
      <c r="A16" s="76" t="s">
        <v>146</v>
      </c>
      <c r="B16" s="77">
        <v>2</v>
      </c>
      <c r="C16" s="78">
        <v>2</v>
      </c>
      <c r="D16" s="79">
        <f>C16/B16</f>
        <v>1</v>
      </c>
      <c r="E16" s="78"/>
      <c r="F16" s="79"/>
      <c r="G16" s="78"/>
      <c r="H16" s="79"/>
      <c r="I16" s="78"/>
      <c r="J16" s="79"/>
      <c r="K16" s="79">
        <f t="shared" si="0"/>
        <v>0</v>
      </c>
      <c r="L16" s="79">
        <f t="shared" si="1"/>
        <v>0</v>
      </c>
      <c r="M16" s="80">
        <f t="shared" si="2"/>
        <v>2</v>
      </c>
      <c r="N16" s="81">
        <f>68/B16</f>
        <v>34</v>
      </c>
    </row>
    <row r="17" spans="1:16" s="82" customFormat="1" ht="15" customHeight="1" x14ac:dyDescent="0.25">
      <c r="A17" s="76" t="s">
        <v>152</v>
      </c>
      <c r="B17" s="77">
        <v>5</v>
      </c>
      <c r="C17" s="78">
        <v>1</v>
      </c>
      <c r="D17" s="79">
        <f>C17/B17</f>
        <v>0.2</v>
      </c>
      <c r="E17" s="78">
        <v>3</v>
      </c>
      <c r="F17" s="79">
        <f>E17/B17</f>
        <v>0.6</v>
      </c>
      <c r="G17" s="78">
        <v>1</v>
      </c>
      <c r="H17" s="79">
        <f>G17/B17</f>
        <v>0.2</v>
      </c>
      <c r="I17" s="78"/>
      <c r="J17" s="79"/>
      <c r="K17" s="79">
        <f t="shared" si="0"/>
        <v>0.2</v>
      </c>
      <c r="L17" s="79">
        <f t="shared" si="1"/>
        <v>0.8</v>
      </c>
      <c r="M17" s="80">
        <f t="shared" si="2"/>
        <v>3</v>
      </c>
      <c r="N17" s="81">
        <f>225/B17</f>
        <v>45</v>
      </c>
    </row>
    <row r="18" spans="1:16" s="82" customFormat="1" ht="15" customHeight="1" x14ac:dyDescent="0.25">
      <c r="A18" s="76" t="s">
        <v>165</v>
      </c>
      <c r="B18" s="77">
        <v>9</v>
      </c>
      <c r="C18" s="78">
        <v>5</v>
      </c>
      <c r="D18" s="79">
        <f>C18/B18</f>
        <v>0.55555555555555558</v>
      </c>
      <c r="E18" s="78">
        <v>4</v>
      </c>
      <c r="F18" s="79">
        <f>E18/B18</f>
        <v>0.44444444444444442</v>
      </c>
      <c r="G18" s="78"/>
      <c r="H18" s="79"/>
      <c r="I18" s="78"/>
      <c r="J18" s="79"/>
      <c r="K18" s="79">
        <f t="shared" si="0"/>
        <v>0</v>
      </c>
      <c r="L18" s="79">
        <f t="shared" si="1"/>
        <v>0.44444444444444442</v>
      </c>
      <c r="M18" s="80">
        <f t="shared" si="2"/>
        <v>2.4444444444444446</v>
      </c>
      <c r="N18" s="81">
        <f>258/B18</f>
        <v>28.666666666666668</v>
      </c>
    </row>
    <row r="19" spans="1:16" s="82" customFormat="1" ht="15" customHeight="1" x14ac:dyDescent="0.25">
      <c r="A19" s="76" t="s">
        <v>186</v>
      </c>
      <c r="B19" s="77">
        <v>3</v>
      </c>
      <c r="C19" s="78"/>
      <c r="D19" s="79"/>
      <c r="E19" s="78">
        <v>1</v>
      </c>
      <c r="F19" s="79">
        <f>E19/B19</f>
        <v>0.33333333333333331</v>
      </c>
      <c r="G19" s="78">
        <v>1</v>
      </c>
      <c r="H19" s="79">
        <f>G19/B19</f>
        <v>0.33333333333333331</v>
      </c>
      <c r="I19" s="78">
        <v>1</v>
      </c>
      <c r="J19" s="79">
        <f>I19/B19</f>
        <v>0.33333333333333331</v>
      </c>
      <c r="K19" s="79">
        <f t="shared" si="0"/>
        <v>0.66666666666666663</v>
      </c>
      <c r="L19" s="79">
        <f t="shared" si="1"/>
        <v>1</v>
      </c>
      <c r="M19" s="80">
        <f t="shared" si="2"/>
        <v>4</v>
      </c>
      <c r="N19" s="81">
        <f>201/B19</f>
        <v>67</v>
      </c>
    </row>
    <row r="20" spans="1:16" s="82" customFormat="1" ht="10.5" customHeight="1" x14ac:dyDescent="0.25">
      <c r="A20" s="76"/>
      <c r="B20" s="77"/>
      <c r="C20" s="78"/>
      <c r="D20" s="79"/>
      <c r="E20" s="78"/>
      <c r="F20" s="79"/>
      <c r="G20" s="78"/>
      <c r="H20" s="79"/>
      <c r="I20" s="78"/>
      <c r="J20" s="79"/>
      <c r="K20" s="79"/>
      <c r="L20" s="79"/>
      <c r="M20" s="80"/>
      <c r="N20" s="81"/>
    </row>
    <row r="21" spans="1:16" s="101" customFormat="1" ht="14.25" customHeight="1" x14ac:dyDescent="0.25">
      <c r="A21" s="74" t="s">
        <v>230</v>
      </c>
      <c r="B21" s="66">
        <f>SUM(B22:B23)</f>
        <v>2</v>
      </c>
      <c r="C21" s="66">
        <f>SUM(C22:C23)</f>
        <v>0</v>
      </c>
      <c r="D21" s="58">
        <f>C21/B21</f>
        <v>0</v>
      </c>
      <c r="E21" s="66">
        <f>SUM(E22:E23)</f>
        <v>1</v>
      </c>
      <c r="F21" s="58">
        <f>E21/B21</f>
        <v>0.5</v>
      </c>
      <c r="G21" s="66">
        <f>SUM(G22:G23)</f>
        <v>1</v>
      </c>
      <c r="H21" s="58">
        <f t="shared" ref="H21:H22" si="3">G21/B21</f>
        <v>0.5</v>
      </c>
      <c r="I21" s="66">
        <f>SUM(I22:I23)</f>
        <v>0</v>
      </c>
      <c r="J21" s="58">
        <f>I21/B21</f>
        <v>0</v>
      </c>
      <c r="K21" s="58">
        <f>(G21+I21)/B21</f>
        <v>0.5</v>
      </c>
      <c r="L21" s="58">
        <f>(E21+G21+I21)/B21</f>
        <v>1</v>
      </c>
      <c r="M21" s="59">
        <f>((E21*3)+(G21*4)+(I21*5)+(C21*2))/B21</f>
        <v>3.5</v>
      </c>
      <c r="N21" s="60">
        <f>89/B21</f>
        <v>44.5</v>
      </c>
      <c r="P21" s="82"/>
    </row>
    <row r="22" spans="1:16" s="87" customFormat="1" ht="15.75" customHeight="1" x14ac:dyDescent="0.25">
      <c r="A22" s="76" t="s">
        <v>88</v>
      </c>
      <c r="B22" s="77">
        <v>1</v>
      </c>
      <c r="C22" s="78"/>
      <c r="D22" s="79"/>
      <c r="E22" s="78"/>
      <c r="F22" s="79"/>
      <c r="G22" s="78">
        <v>1</v>
      </c>
      <c r="H22" s="62">
        <f t="shared" si="3"/>
        <v>1</v>
      </c>
      <c r="I22" s="78"/>
      <c r="J22" s="79"/>
      <c r="K22" s="79">
        <f>(G22+I22)/B22</f>
        <v>1</v>
      </c>
      <c r="L22" s="79">
        <f>(E22+G22+I22)/B22</f>
        <v>1</v>
      </c>
      <c r="M22" s="80">
        <f>((E22*3)+(G22*4)+(I22*5)+(C22*2))/B22</f>
        <v>4</v>
      </c>
      <c r="N22" s="81">
        <f>62/B22</f>
        <v>62</v>
      </c>
      <c r="P22" s="82"/>
    </row>
    <row r="23" spans="1:16" s="82" customFormat="1" ht="15" customHeight="1" x14ac:dyDescent="0.25">
      <c r="A23" s="76" t="s">
        <v>165</v>
      </c>
      <c r="B23" s="77">
        <v>1</v>
      </c>
      <c r="C23" s="78"/>
      <c r="D23" s="62"/>
      <c r="E23" s="78">
        <v>1</v>
      </c>
      <c r="F23" s="62">
        <f>E23/B23</f>
        <v>1</v>
      </c>
      <c r="G23" s="78"/>
      <c r="H23" s="79"/>
      <c r="I23" s="78"/>
      <c r="J23" s="79"/>
      <c r="K23" s="79">
        <f>(G23+I23)/B23</f>
        <v>0</v>
      </c>
      <c r="L23" s="79">
        <f>(E23+G23+I23)/B23</f>
        <v>1</v>
      </c>
      <c r="M23" s="80">
        <f>((E23*3)+(G23*4)+(I23*5)+(C23*2))/B23</f>
        <v>3</v>
      </c>
      <c r="N23" s="81">
        <f>27/B23</f>
        <v>27</v>
      </c>
    </row>
    <row r="24" spans="1:16" s="82" customFormat="1" ht="9.75" customHeight="1" x14ac:dyDescent="0.25">
      <c r="A24" s="76"/>
      <c r="B24" s="77"/>
      <c r="C24" s="78"/>
      <c r="D24" s="62"/>
      <c r="E24" s="78"/>
      <c r="F24" s="62"/>
      <c r="G24" s="78"/>
      <c r="H24" s="79"/>
      <c r="I24" s="78"/>
      <c r="J24" s="79"/>
      <c r="K24" s="79"/>
      <c r="L24" s="79"/>
      <c r="M24" s="80"/>
      <c r="N24" s="81"/>
    </row>
    <row r="25" spans="1:16" ht="15" customHeight="1" x14ac:dyDescent="0.25">
      <c r="A25" s="74" t="s">
        <v>66</v>
      </c>
      <c r="B25" s="66">
        <f>SUM(B26:B26)</f>
        <v>1</v>
      </c>
      <c r="C25" s="66">
        <f>SUM(C26:C26)</f>
        <v>0</v>
      </c>
      <c r="D25" s="58">
        <f>C25/B25</f>
        <v>0</v>
      </c>
      <c r="E25" s="66">
        <f>SUM(E26:E26)</f>
        <v>1</v>
      </c>
      <c r="F25" s="58">
        <f>E25/B25</f>
        <v>1</v>
      </c>
      <c r="G25" s="66">
        <f>SUM(G26:G26)</f>
        <v>0</v>
      </c>
      <c r="H25" s="58">
        <f>G25/B25</f>
        <v>0</v>
      </c>
      <c r="I25" s="66">
        <f>SUM(I26:I26)</f>
        <v>0</v>
      </c>
      <c r="J25" s="58">
        <f>I25/B25</f>
        <v>0</v>
      </c>
      <c r="K25" s="58">
        <f>(G25+I25)/B25</f>
        <v>0</v>
      </c>
      <c r="L25" s="58">
        <f>(E25+G25+I25)/B25</f>
        <v>1</v>
      </c>
      <c r="M25" s="59">
        <f>((E25*3)+(G25*4)+(I25*5)+(C25*2))/B25</f>
        <v>3</v>
      </c>
      <c r="N25" s="60">
        <f>38/B25</f>
        <v>38</v>
      </c>
      <c r="P25" s="82"/>
    </row>
    <row r="26" spans="1:16" ht="15" customHeight="1" x14ac:dyDescent="0.25">
      <c r="A26" s="65" t="s">
        <v>165</v>
      </c>
      <c r="B26" s="72">
        <v>1</v>
      </c>
      <c r="C26" s="61"/>
      <c r="D26" s="62"/>
      <c r="E26" s="61">
        <v>1</v>
      </c>
      <c r="F26" s="62">
        <f>E26/B26</f>
        <v>1</v>
      </c>
      <c r="G26" s="61"/>
      <c r="H26" s="62"/>
      <c r="I26" s="61"/>
      <c r="J26" s="62"/>
      <c r="K26" s="62">
        <f>(G26+I26)/B26</f>
        <v>0</v>
      </c>
      <c r="L26" s="62">
        <f>(E26+G26+I26)/B26</f>
        <v>1</v>
      </c>
      <c r="M26" s="63">
        <f>((E26*3)+(G26*4)+(I26*5)+(C26*2))/B26</f>
        <v>3</v>
      </c>
      <c r="N26" s="64">
        <f>38/B26</f>
        <v>38</v>
      </c>
      <c r="P26" s="82"/>
    </row>
    <row r="27" spans="1:16" ht="9.75" customHeight="1" x14ac:dyDescent="0.25">
      <c r="A27" s="65"/>
      <c r="B27" s="72"/>
      <c r="C27" s="61"/>
      <c r="D27" s="62"/>
      <c r="E27" s="61"/>
      <c r="F27" s="62"/>
      <c r="G27" s="61"/>
      <c r="H27" s="62"/>
      <c r="I27" s="61"/>
      <c r="J27" s="62"/>
      <c r="K27" s="62"/>
      <c r="L27" s="62"/>
      <c r="M27" s="63"/>
      <c r="N27" s="64"/>
      <c r="P27" s="82"/>
    </row>
    <row r="28" spans="1:16" ht="15" customHeight="1" x14ac:dyDescent="0.25">
      <c r="A28" s="74" t="s">
        <v>67</v>
      </c>
      <c r="B28" s="66">
        <f>SUM(B29:B34)</f>
        <v>11</v>
      </c>
      <c r="C28" s="66">
        <f>SUM(C29:C34)</f>
        <v>0</v>
      </c>
      <c r="D28" s="58">
        <f>C28/B28</f>
        <v>0</v>
      </c>
      <c r="E28" s="66">
        <f>SUM(E29:E34)</f>
        <v>2</v>
      </c>
      <c r="F28" s="58">
        <f>E28/B28</f>
        <v>0.18181818181818182</v>
      </c>
      <c r="G28" s="66">
        <f>SUM(G29:G34)</f>
        <v>5</v>
      </c>
      <c r="H28" s="58">
        <f>G28/B28</f>
        <v>0.45454545454545453</v>
      </c>
      <c r="I28" s="66">
        <f>SUM(I29:I34)</f>
        <v>4</v>
      </c>
      <c r="J28" s="58">
        <f>I28/B28</f>
        <v>0.36363636363636365</v>
      </c>
      <c r="K28" s="58">
        <f t="shared" ref="K28:K34" si="4">(G28+I28)/B28</f>
        <v>0.81818181818181823</v>
      </c>
      <c r="L28" s="58">
        <f t="shared" ref="L28:L34" si="5">(E28+G28+I28)/B28</f>
        <v>1</v>
      </c>
      <c r="M28" s="59">
        <f t="shared" ref="M28:M34" si="6">((E28*3)+(G28*4)+(I28*5)+(C28*2))/B28</f>
        <v>4.1818181818181817</v>
      </c>
      <c r="N28" s="60">
        <f>739/B28</f>
        <v>67.181818181818187</v>
      </c>
      <c r="P28" s="82"/>
    </row>
    <row r="29" spans="1:16" s="82" customFormat="1" ht="15" customHeight="1" x14ac:dyDescent="0.25">
      <c r="A29" s="76" t="s">
        <v>107</v>
      </c>
      <c r="B29" s="77">
        <v>3</v>
      </c>
      <c r="C29" s="78"/>
      <c r="D29" s="79"/>
      <c r="E29" s="78">
        <v>1</v>
      </c>
      <c r="F29" s="79">
        <f>E29/B29</f>
        <v>0.33333333333333331</v>
      </c>
      <c r="G29" s="78">
        <v>1</v>
      </c>
      <c r="H29" s="79">
        <f>G29/B29</f>
        <v>0.33333333333333331</v>
      </c>
      <c r="I29" s="78">
        <v>1</v>
      </c>
      <c r="J29" s="79">
        <f>I29/B29</f>
        <v>0.33333333333333331</v>
      </c>
      <c r="K29" s="79">
        <f t="shared" si="4"/>
        <v>0.66666666666666663</v>
      </c>
      <c r="L29" s="79">
        <f t="shared" si="5"/>
        <v>1</v>
      </c>
      <c r="M29" s="80">
        <f t="shared" si="6"/>
        <v>4</v>
      </c>
      <c r="N29" s="81">
        <f>198/B29</f>
        <v>66</v>
      </c>
    </row>
    <row r="30" spans="1:16" s="82" customFormat="1" ht="15" customHeight="1" x14ac:dyDescent="0.25">
      <c r="A30" s="76" t="s">
        <v>133</v>
      </c>
      <c r="B30" s="77">
        <v>1</v>
      </c>
      <c r="C30" s="78"/>
      <c r="D30" s="79"/>
      <c r="E30" s="78"/>
      <c r="F30" s="79"/>
      <c r="G30" s="78"/>
      <c r="H30" s="79"/>
      <c r="I30" s="78">
        <v>1</v>
      </c>
      <c r="J30" s="79">
        <f>I30/B30</f>
        <v>1</v>
      </c>
      <c r="K30" s="79">
        <f t="shared" si="4"/>
        <v>1</v>
      </c>
      <c r="L30" s="79">
        <f t="shared" si="5"/>
        <v>1</v>
      </c>
      <c r="M30" s="80">
        <f t="shared" si="6"/>
        <v>5</v>
      </c>
      <c r="N30" s="81">
        <f>74/B30</f>
        <v>74</v>
      </c>
    </row>
    <row r="31" spans="1:16" s="82" customFormat="1" ht="15" customHeight="1" x14ac:dyDescent="0.25">
      <c r="A31" s="76" t="s">
        <v>140</v>
      </c>
      <c r="B31" s="77">
        <v>1</v>
      </c>
      <c r="C31" s="78"/>
      <c r="D31" s="79"/>
      <c r="E31" s="78"/>
      <c r="F31" s="79"/>
      <c r="G31" s="78"/>
      <c r="H31" s="79"/>
      <c r="I31" s="78">
        <v>1</v>
      </c>
      <c r="J31" s="79">
        <f>I31/B31</f>
        <v>1</v>
      </c>
      <c r="K31" s="79">
        <f t="shared" si="4"/>
        <v>1</v>
      </c>
      <c r="L31" s="79">
        <f t="shared" si="5"/>
        <v>1</v>
      </c>
      <c r="M31" s="80">
        <f t="shared" si="6"/>
        <v>5</v>
      </c>
      <c r="N31" s="81">
        <f>78/B31</f>
        <v>78</v>
      </c>
    </row>
    <row r="32" spans="1:16" s="82" customFormat="1" ht="15" customHeight="1" x14ac:dyDescent="0.25">
      <c r="A32" s="76" t="s">
        <v>152</v>
      </c>
      <c r="B32" s="77">
        <v>3</v>
      </c>
      <c r="C32" s="78"/>
      <c r="D32" s="79"/>
      <c r="E32" s="78"/>
      <c r="F32" s="79"/>
      <c r="G32" s="78">
        <v>3</v>
      </c>
      <c r="H32" s="79">
        <f>G32/B32</f>
        <v>1</v>
      </c>
      <c r="I32" s="78"/>
      <c r="J32" s="79"/>
      <c r="K32" s="79">
        <f t="shared" si="4"/>
        <v>1</v>
      </c>
      <c r="L32" s="79">
        <f t="shared" si="5"/>
        <v>1</v>
      </c>
      <c r="M32" s="80">
        <f t="shared" si="6"/>
        <v>4</v>
      </c>
      <c r="N32" s="81">
        <f>199/B32</f>
        <v>66.333333333333329</v>
      </c>
    </row>
    <row r="33" spans="1:16" s="82" customFormat="1" ht="15" customHeight="1" x14ac:dyDescent="0.25">
      <c r="A33" s="76" t="s">
        <v>165</v>
      </c>
      <c r="B33" s="77">
        <v>1</v>
      </c>
      <c r="C33" s="78"/>
      <c r="D33" s="79"/>
      <c r="E33" s="78">
        <v>1</v>
      </c>
      <c r="F33" s="79">
        <f t="shared" ref="F33" si="7">E33/B33</f>
        <v>1</v>
      </c>
      <c r="G33" s="78"/>
      <c r="H33" s="79"/>
      <c r="I33" s="78"/>
      <c r="J33" s="79"/>
      <c r="K33" s="79">
        <f t="shared" si="4"/>
        <v>0</v>
      </c>
      <c r="L33" s="79">
        <f t="shared" si="5"/>
        <v>1</v>
      </c>
      <c r="M33" s="80">
        <f t="shared" si="6"/>
        <v>3</v>
      </c>
      <c r="N33" s="81">
        <f>44/B33</f>
        <v>44</v>
      </c>
    </row>
    <row r="34" spans="1:16" s="82" customFormat="1" ht="15" customHeight="1" x14ac:dyDescent="0.25">
      <c r="A34" s="76" t="s">
        <v>186</v>
      </c>
      <c r="B34" s="77">
        <v>2</v>
      </c>
      <c r="C34" s="78"/>
      <c r="D34" s="79"/>
      <c r="E34" s="78"/>
      <c r="F34" s="79"/>
      <c r="G34" s="78">
        <v>1</v>
      </c>
      <c r="H34" s="79">
        <f t="shared" ref="H34" si="8">G34/B34</f>
        <v>0.5</v>
      </c>
      <c r="I34" s="78">
        <v>1</v>
      </c>
      <c r="J34" s="79">
        <f>I34/B34</f>
        <v>0.5</v>
      </c>
      <c r="K34" s="79">
        <f t="shared" si="4"/>
        <v>1</v>
      </c>
      <c r="L34" s="79">
        <f t="shared" si="5"/>
        <v>1</v>
      </c>
      <c r="M34" s="80">
        <f t="shared" si="6"/>
        <v>4.5</v>
      </c>
      <c r="N34" s="81">
        <f>146/B34</f>
        <v>73</v>
      </c>
    </row>
    <row r="35" spans="1:16" s="82" customFormat="1" ht="9.75" customHeight="1" x14ac:dyDescent="0.25">
      <c r="A35" s="76"/>
      <c r="B35" s="77"/>
      <c r="C35" s="78"/>
      <c r="D35" s="79"/>
      <c r="E35" s="78"/>
      <c r="F35" s="79"/>
      <c r="G35" s="78"/>
      <c r="H35" s="79"/>
      <c r="I35" s="78"/>
      <c r="J35" s="79"/>
      <c r="K35" s="79"/>
      <c r="L35" s="79"/>
      <c r="M35" s="80"/>
      <c r="N35" s="81"/>
    </row>
    <row r="36" spans="1:16" s="82" customFormat="1" ht="15" customHeight="1" x14ac:dyDescent="0.25">
      <c r="A36" s="74" t="s">
        <v>68</v>
      </c>
      <c r="B36" s="66">
        <f>SUM(B37:B42)</f>
        <v>20</v>
      </c>
      <c r="C36" s="66">
        <f>SUM(C37:C42)</f>
        <v>14</v>
      </c>
      <c r="D36" s="58">
        <f>C36/B36</f>
        <v>0.7</v>
      </c>
      <c r="E36" s="66">
        <f>SUM(E37:E42)</f>
        <v>3</v>
      </c>
      <c r="F36" s="58">
        <f>E36/B36</f>
        <v>0.15</v>
      </c>
      <c r="G36" s="66">
        <f>SUM(G37:G42)</f>
        <v>3</v>
      </c>
      <c r="H36" s="58">
        <f>G36/B36</f>
        <v>0.15</v>
      </c>
      <c r="I36" s="66">
        <f>SUM(I37:I42)</f>
        <v>0</v>
      </c>
      <c r="J36" s="58">
        <f>I36/B36</f>
        <v>0</v>
      </c>
      <c r="K36" s="58">
        <f t="shared" ref="K36:K42" si="9">(G36+I36)/B36</f>
        <v>0.15</v>
      </c>
      <c r="L36" s="58">
        <f t="shared" ref="L36:L42" si="10">(E36+G36+I36)/B36</f>
        <v>0.3</v>
      </c>
      <c r="M36" s="59">
        <f t="shared" ref="M36:M42" si="11">((E36*3)+(G36*4)+(I36*5)+(C36*2))/B36</f>
        <v>2.4500000000000002</v>
      </c>
      <c r="N36" s="60">
        <f>586/B36</f>
        <v>29.3</v>
      </c>
    </row>
    <row r="37" spans="1:16" ht="15" customHeight="1" x14ac:dyDescent="0.25">
      <c r="A37" s="65" t="s">
        <v>107</v>
      </c>
      <c r="B37" s="72">
        <v>7</v>
      </c>
      <c r="C37" s="61">
        <v>5</v>
      </c>
      <c r="D37" s="62">
        <f>C37/B37</f>
        <v>0.7142857142857143</v>
      </c>
      <c r="E37" s="61">
        <v>1</v>
      </c>
      <c r="F37" s="62">
        <f>E37/B37</f>
        <v>0.14285714285714285</v>
      </c>
      <c r="G37" s="61">
        <v>1</v>
      </c>
      <c r="H37" s="62">
        <f>G37/B37</f>
        <v>0.14285714285714285</v>
      </c>
      <c r="I37" s="61"/>
      <c r="J37" s="62"/>
      <c r="K37" s="62">
        <f t="shared" si="9"/>
        <v>0.14285714285714285</v>
      </c>
      <c r="L37" s="62">
        <f t="shared" si="10"/>
        <v>0.2857142857142857</v>
      </c>
      <c r="M37" s="63">
        <f t="shared" si="11"/>
        <v>2.4285714285714284</v>
      </c>
      <c r="N37" s="64">
        <f>192/B37</f>
        <v>27.428571428571427</v>
      </c>
      <c r="P37" s="82"/>
    </row>
    <row r="38" spans="1:16" ht="15" customHeight="1" x14ac:dyDescent="0.25">
      <c r="A38" s="65" t="s">
        <v>133</v>
      </c>
      <c r="B38" s="72">
        <v>1</v>
      </c>
      <c r="C38" s="61"/>
      <c r="D38" s="62"/>
      <c r="E38" s="61"/>
      <c r="F38" s="62"/>
      <c r="G38" s="61">
        <v>1</v>
      </c>
      <c r="H38" s="62">
        <f>G38/B38</f>
        <v>1</v>
      </c>
      <c r="I38" s="61"/>
      <c r="J38" s="62"/>
      <c r="K38" s="62">
        <f t="shared" si="9"/>
        <v>1</v>
      </c>
      <c r="L38" s="62">
        <f t="shared" si="10"/>
        <v>1</v>
      </c>
      <c r="M38" s="63">
        <f t="shared" si="11"/>
        <v>4</v>
      </c>
      <c r="N38" s="64">
        <f>60/B38</f>
        <v>60</v>
      </c>
      <c r="P38" s="82"/>
    </row>
    <row r="39" spans="1:16" ht="15" customHeight="1" x14ac:dyDescent="0.25">
      <c r="A39" s="65" t="s">
        <v>140</v>
      </c>
      <c r="B39" s="72">
        <v>1</v>
      </c>
      <c r="C39" s="61">
        <v>1</v>
      </c>
      <c r="D39" s="62">
        <f>C39/B39</f>
        <v>1</v>
      </c>
      <c r="E39" s="61"/>
      <c r="F39" s="62"/>
      <c r="G39" s="61"/>
      <c r="H39" s="62"/>
      <c r="I39" s="61"/>
      <c r="J39" s="62"/>
      <c r="K39" s="62">
        <f t="shared" si="9"/>
        <v>0</v>
      </c>
      <c r="L39" s="62">
        <f t="shared" si="10"/>
        <v>0</v>
      </c>
      <c r="M39" s="63">
        <f t="shared" si="11"/>
        <v>2</v>
      </c>
      <c r="N39" s="64">
        <f>34/B39</f>
        <v>34</v>
      </c>
      <c r="P39" s="82"/>
    </row>
    <row r="40" spans="1:16" ht="15" customHeight="1" x14ac:dyDescent="0.25">
      <c r="A40" s="65" t="s">
        <v>152</v>
      </c>
      <c r="B40" s="72">
        <v>3</v>
      </c>
      <c r="C40" s="61">
        <v>2</v>
      </c>
      <c r="D40" s="62">
        <f>C40/B40</f>
        <v>0.66666666666666663</v>
      </c>
      <c r="E40" s="61">
        <v>1</v>
      </c>
      <c r="F40" s="62">
        <f>E40/B40</f>
        <v>0.33333333333333331</v>
      </c>
      <c r="G40" s="61"/>
      <c r="H40" s="62"/>
      <c r="I40" s="61"/>
      <c r="J40" s="62"/>
      <c r="K40" s="62">
        <f t="shared" si="9"/>
        <v>0</v>
      </c>
      <c r="L40" s="62">
        <f t="shared" si="10"/>
        <v>0.33333333333333331</v>
      </c>
      <c r="M40" s="63">
        <f t="shared" si="11"/>
        <v>2.3333333333333335</v>
      </c>
      <c r="N40" s="64">
        <f>94/B40</f>
        <v>31.333333333333332</v>
      </c>
      <c r="P40" s="82"/>
    </row>
    <row r="41" spans="1:16" ht="15" customHeight="1" x14ac:dyDescent="0.25">
      <c r="A41" s="65" t="s">
        <v>165</v>
      </c>
      <c r="B41" s="72">
        <v>6</v>
      </c>
      <c r="C41" s="61">
        <v>6</v>
      </c>
      <c r="D41" s="62">
        <f>C41/B41</f>
        <v>1</v>
      </c>
      <c r="E41" s="61"/>
      <c r="F41" s="62"/>
      <c r="G41" s="61"/>
      <c r="H41" s="62"/>
      <c r="I41" s="61"/>
      <c r="J41" s="62"/>
      <c r="K41" s="62">
        <f t="shared" si="9"/>
        <v>0</v>
      </c>
      <c r="L41" s="62">
        <f t="shared" si="10"/>
        <v>0</v>
      </c>
      <c r="M41" s="63">
        <f t="shared" si="11"/>
        <v>2</v>
      </c>
      <c r="N41" s="64">
        <f>96/B41</f>
        <v>16</v>
      </c>
      <c r="P41" s="82"/>
    </row>
    <row r="42" spans="1:16" ht="15" customHeight="1" x14ac:dyDescent="0.25">
      <c r="A42" s="65" t="s">
        <v>186</v>
      </c>
      <c r="B42" s="72">
        <v>2</v>
      </c>
      <c r="C42" s="61"/>
      <c r="D42" s="62"/>
      <c r="E42" s="61">
        <v>1</v>
      </c>
      <c r="F42" s="62">
        <f t="shared" ref="F42" si="12">E42/B42</f>
        <v>0.5</v>
      </c>
      <c r="G42" s="61">
        <v>1</v>
      </c>
      <c r="H42" s="62">
        <f>G42/B42</f>
        <v>0.5</v>
      </c>
      <c r="I42" s="61"/>
      <c r="J42" s="62"/>
      <c r="K42" s="62">
        <f t="shared" si="9"/>
        <v>0.5</v>
      </c>
      <c r="L42" s="62">
        <f t="shared" si="10"/>
        <v>1</v>
      </c>
      <c r="M42" s="63">
        <f t="shared" si="11"/>
        <v>3.5</v>
      </c>
      <c r="N42" s="64">
        <f>110/B42</f>
        <v>55</v>
      </c>
      <c r="P42" s="82"/>
    </row>
    <row r="43" spans="1:16" ht="9.75" customHeight="1" x14ac:dyDescent="0.25">
      <c r="A43" s="65"/>
      <c r="B43" s="72"/>
      <c r="C43" s="61"/>
      <c r="D43" s="62"/>
      <c r="E43" s="61"/>
      <c r="F43" s="62"/>
      <c r="G43" s="61"/>
      <c r="H43" s="62"/>
      <c r="I43" s="61"/>
      <c r="J43" s="62"/>
      <c r="K43" s="62"/>
      <c r="L43" s="62"/>
      <c r="M43" s="63"/>
      <c r="N43" s="64"/>
      <c r="P43" s="82"/>
    </row>
    <row r="44" spans="1:16" ht="15" customHeight="1" x14ac:dyDescent="0.25">
      <c r="A44" s="74" t="s">
        <v>69</v>
      </c>
      <c r="B44" s="66">
        <f>SUM(B45:B47)</f>
        <v>4</v>
      </c>
      <c r="C44" s="66">
        <f>SUM(C45:C47)</f>
        <v>2</v>
      </c>
      <c r="D44" s="58">
        <f>C44/B44</f>
        <v>0.5</v>
      </c>
      <c r="E44" s="66">
        <f>SUM(E45:E47)</f>
        <v>2</v>
      </c>
      <c r="F44" s="58">
        <f t="shared" ref="F44:F47" si="13">E44/B44</f>
        <v>0.5</v>
      </c>
      <c r="G44" s="66">
        <f>SUM(G45:G47)</f>
        <v>0</v>
      </c>
      <c r="H44" s="58">
        <f>G44/B44</f>
        <v>0</v>
      </c>
      <c r="I44" s="66">
        <f>SUM(I45:I47)</f>
        <v>0</v>
      </c>
      <c r="J44" s="58">
        <f>I44/B44</f>
        <v>0</v>
      </c>
      <c r="K44" s="58">
        <f>(G44+I44)/B44</f>
        <v>0</v>
      </c>
      <c r="L44" s="58">
        <f>(E44+G44+I44)/B44</f>
        <v>0.5</v>
      </c>
      <c r="M44" s="59">
        <f>((E44*3)+(G44*4)+(I44*5)+(C44*2))/B44</f>
        <v>2.5</v>
      </c>
      <c r="N44" s="60">
        <f>121/B44</f>
        <v>30.25</v>
      </c>
      <c r="P44" s="82"/>
    </row>
    <row r="45" spans="1:16" s="87" customFormat="1" ht="15.75" customHeight="1" x14ac:dyDescent="0.25">
      <c r="A45" s="76" t="s">
        <v>88</v>
      </c>
      <c r="B45" s="77">
        <v>2</v>
      </c>
      <c r="C45" s="78">
        <v>1</v>
      </c>
      <c r="D45" s="79">
        <f>C45/B45</f>
        <v>0.5</v>
      </c>
      <c r="E45" s="78">
        <v>1</v>
      </c>
      <c r="F45" s="62">
        <f t="shared" si="13"/>
        <v>0.5</v>
      </c>
      <c r="G45" s="78"/>
      <c r="H45" s="62"/>
      <c r="I45" s="78"/>
      <c r="J45" s="79"/>
      <c r="K45" s="79">
        <f>(G45+I45)/B45</f>
        <v>0</v>
      </c>
      <c r="L45" s="79">
        <f>(E45+G45+I45)/B45</f>
        <v>0.5</v>
      </c>
      <c r="M45" s="80">
        <f>((E45*3)+(G45*4)+(I45*5)+(C45*2))/B45</f>
        <v>2.5</v>
      </c>
      <c r="N45" s="81">
        <f>72/B45</f>
        <v>36</v>
      </c>
      <c r="P45" s="82"/>
    </row>
    <row r="46" spans="1:16" s="101" customFormat="1" ht="14.25" customHeight="1" x14ac:dyDescent="0.25">
      <c r="A46" s="76" t="s">
        <v>140</v>
      </c>
      <c r="B46" s="72">
        <v>1</v>
      </c>
      <c r="C46" s="61">
        <v>1</v>
      </c>
      <c r="D46" s="79">
        <f>C46/B46</f>
        <v>1</v>
      </c>
      <c r="E46" s="61"/>
      <c r="F46" s="62"/>
      <c r="G46" s="61"/>
      <c r="H46" s="62"/>
      <c r="I46" s="61"/>
      <c r="J46" s="62"/>
      <c r="K46" s="62">
        <f>(G46+I46)/B46</f>
        <v>0</v>
      </c>
      <c r="L46" s="62">
        <f>(E46+G46+I46)/B46</f>
        <v>0</v>
      </c>
      <c r="M46" s="63">
        <f>((E46*3)+(G46*4)+(I46*5)+(C46*2))/B46</f>
        <v>2</v>
      </c>
      <c r="N46" s="64">
        <f>15/B46</f>
        <v>15</v>
      </c>
      <c r="P46" s="82"/>
    </row>
    <row r="47" spans="1:16" ht="15" customHeight="1" x14ac:dyDescent="0.25">
      <c r="A47" s="65" t="s">
        <v>186</v>
      </c>
      <c r="B47" s="72">
        <v>1</v>
      </c>
      <c r="C47" s="61"/>
      <c r="D47" s="62"/>
      <c r="E47" s="61">
        <v>1</v>
      </c>
      <c r="F47" s="62">
        <f t="shared" si="13"/>
        <v>1</v>
      </c>
      <c r="G47" s="61"/>
      <c r="H47" s="62"/>
      <c r="I47" s="61"/>
      <c r="J47" s="62"/>
      <c r="K47" s="62">
        <f>(G47+I47)/B47</f>
        <v>0</v>
      </c>
      <c r="L47" s="62">
        <f>(E47+G47+I47)/B47</f>
        <v>1</v>
      </c>
      <c r="M47" s="63">
        <f>((E47*3)+(G47*4)+(I47*5)+(C47*2))/B47</f>
        <v>3</v>
      </c>
      <c r="N47" s="64">
        <f>34/B47</f>
        <v>34</v>
      </c>
      <c r="P47" s="82"/>
    </row>
    <row r="48" spans="1:16" ht="9.75" customHeight="1" x14ac:dyDescent="0.25">
      <c r="A48" s="65"/>
      <c r="B48" s="72"/>
      <c r="C48" s="61"/>
      <c r="D48" s="62"/>
      <c r="E48" s="61"/>
      <c r="F48" s="62"/>
      <c r="G48" s="61"/>
      <c r="H48" s="62"/>
      <c r="I48" s="61"/>
      <c r="J48" s="62"/>
      <c r="K48" s="62"/>
      <c r="L48" s="62"/>
      <c r="M48" s="63"/>
      <c r="N48" s="64"/>
      <c r="P48" s="82"/>
    </row>
    <row r="49" spans="1:16" s="82" customFormat="1" ht="15" customHeight="1" x14ac:dyDescent="0.25">
      <c r="A49" s="74" t="s">
        <v>70</v>
      </c>
      <c r="B49" s="66">
        <f>SUM(B50:B59)</f>
        <v>28</v>
      </c>
      <c r="C49" s="66">
        <f>SUM(C50:C59)</f>
        <v>23</v>
      </c>
      <c r="D49" s="58">
        <f t="shared" ref="D49:D58" si="14">C49/B49</f>
        <v>0.8214285714285714</v>
      </c>
      <c r="E49" s="66">
        <f>SUM(E50:E59)</f>
        <v>5</v>
      </c>
      <c r="F49" s="58">
        <f>E49/B49</f>
        <v>0.17857142857142858</v>
      </c>
      <c r="G49" s="66">
        <f>SUM(G50:G59)</f>
        <v>0</v>
      </c>
      <c r="H49" s="58">
        <f>G49/B49</f>
        <v>0</v>
      </c>
      <c r="I49" s="66">
        <f>SUM(I50:I59)</f>
        <v>0</v>
      </c>
      <c r="J49" s="58">
        <f>I49/B49</f>
        <v>0</v>
      </c>
      <c r="K49" s="58">
        <f t="shared" ref="K49:K59" si="15">(G49+I49)/B49</f>
        <v>0</v>
      </c>
      <c r="L49" s="58">
        <f t="shared" ref="L49:L59" si="16">(E49+G49+I49)/B49</f>
        <v>0.17857142857142858</v>
      </c>
      <c r="M49" s="59">
        <f t="shared" ref="M49:M59" si="17">((E49*3)+(G49*4)+(I49*5)+(C49*2))/B49</f>
        <v>2.1785714285714284</v>
      </c>
      <c r="N49" s="60">
        <f>686/B49</f>
        <v>24.5</v>
      </c>
    </row>
    <row r="50" spans="1:16" s="87" customFormat="1" ht="15.75" customHeight="1" x14ac:dyDescent="0.25">
      <c r="A50" s="76" t="s">
        <v>88</v>
      </c>
      <c r="B50" s="77">
        <v>3</v>
      </c>
      <c r="C50" s="78">
        <v>1</v>
      </c>
      <c r="D50" s="79">
        <f t="shared" si="14"/>
        <v>0.33333333333333331</v>
      </c>
      <c r="E50" s="78">
        <v>2</v>
      </c>
      <c r="F50" s="79">
        <f>E50/B50</f>
        <v>0.66666666666666663</v>
      </c>
      <c r="G50" s="78"/>
      <c r="H50" s="79"/>
      <c r="I50" s="78"/>
      <c r="J50" s="79"/>
      <c r="K50" s="79">
        <f t="shared" si="15"/>
        <v>0</v>
      </c>
      <c r="L50" s="79">
        <f t="shared" si="16"/>
        <v>0.66666666666666663</v>
      </c>
      <c r="M50" s="80">
        <f t="shared" si="17"/>
        <v>2.6666666666666665</v>
      </c>
      <c r="N50" s="81">
        <f>104/B50</f>
        <v>34.666666666666664</v>
      </c>
      <c r="P50" s="82"/>
    </row>
    <row r="51" spans="1:16" s="82" customFormat="1" ht="15" customHeight="1" x14ac:dyDescent="0.25">
      <c r="A51" s="76" t="s">
        <v>97</v>
      </c>
      <c r="B51" s="77">
        <v>4</v>
      </c>
      <c r="C51" s="78">
        <v>4</v>
      </c>
      <c r="D51" s="79">
        <f t="shared" si="14"/>
        <v>1</v>
      </c>
      <c r="E51" s="78"/>
      <c r="F51" s="79"/>
      <c r="G51" s="78"/>
      <c r="H51" s="79"/>
      <c r="I51" s="78"/>
      <c r="J51" s="79"/>
      <c r="K51" s="79">
        <f t="shared" si="15"/>
        <v>0</v>
      </c>
      <c r="L51" s="79">
        <f t="shared" si="16"/>
        <v>0</v>
      </c>
      <c r="M51" s="80">
        <f t="shared" si="17"/>
        <v>2</v>
      </c>
      <c r="N51" s="81">
        <f>70/B51</f>
        <v>17.5</v>
      </c>
    </row>
    <row r="52" spans="1:16" s="82" customFormat="1" ht="15" customHeight="1" x14ac:dyDescent="0.25">
      <c r="A52" s="76" t="s">
        <v>107</v>
      </c>
      <c r="B52" s="77">
        <v>1</v>
      </c>
      <c r="C52" s="78">
        <v>1</v>
      </c>
      <c r="D52" s="79">
        <f t="shared" si="14"/>
        <v>1</v>
      </c>
      <c r="E52" s="78"/>
      <c r="F52" s="79"/>
      <c r="G52" s="78"/>
      <c r="H52" s="79"/>
      <c r="I52" s="78"/>
      <c r="J52" s="79"/>
      <c r="K52" s="79">
        <f t="shared" si="15"/>
        <v>0</v>
      </c>
      <c r="L52" s="79">
        <f t="shared" si="16"/>
        <v>0</v>
      </c>
      <c r="M52" s="80">
        <f t="shared" si="17"/>
        <v>2</v>
      </c>
      <c r="N52" s="81">
        <f>18/B52</f>
        <v>18</v>
      </c>
    </row>
    <row r="53" spans="1:16" s="82" customFormat="1" ht="15" customHeight="1" x14ac:dyDescent="0.25">
      <c r="A53" s="76" t="s">
        <v>129</v>
      </c>
      <c r="B53" s="77">
        <v>1</v>
      </c>
      <c r="C53" s="78">
        <v>1</v>
      </c>
      <c r="D53" s="79">
        <f t="shared" si="14"/>
        <v>1</v>
      </c>
      <c r="E53" s="78"/>
      <c r="F53" s="79"/>
      <c r="G53" s="78"/>
      <c r="H53" s="79"/>
      <c r="I53" s="78"/>
      <c r="J53" s="79"/>
      <c r="K53" s="79">
        <f t="shared" si="15"/>
        <v>0</v>
      </c>
      <c r="L53" s="79">
        <f t="shared" si="16"/>
        <v>0</v>
      </c>
      <c r="M53" s="80">
        <f t="shared" si="17"/>
        <v>2</v>
      </c>
      <c r="N53" s="81">
        <f>8/B53</f>
        <v>8</v>
      </c>
    </row>
    <row r="54" spans="1:16" s="82" customFormat="1" ht="15" customHeight="1" x14ac:dyDescent="0.25">
      <c r="A54" s="76" t="s">
        <v>133</v>
      </c>
      <c r="B54" s="77">
        <v>2</v>
      </c>
      <c r="C54" s="78">
        <v>2</v>
      </c>
      <c r="D54" s="79">
        <f t="shared" si="14"/>
        <v>1</v>
      </c>
      <c r="E54" s="78"/>
      <c r="F54" s="79"/>
      <c r="G54" s="78"/>
      <c r="H54" s="79"/>
      <c r="I54" s="78"/>
      <c r="J54" s="79"/>
      <c r="K54" s="79">
        <f t="shared" si="15"/>
        <v>0</v>
      </c>
      <c r="L54" s="79">
        <f t="shared" si="16"/>
        <v>0</v>
      </c>
      <c r="M54" s="80">
        <f t="shared" si="17"/>
        <v>2</v>
      </c>
      <c r="N54" s="81">
        <f>57/B54</f>
        <v>28.5</v>
      </c>
    </row>
    <row r="55" spans="1:16" s="82" customFormat="1" ht="15" customHeight="1" x14ac:dyDescent="0.25">
      <c r="A55" s="76" t="s">
        <v>140</v>
      </c>
      <c r="B55" s="77">
        <v>1</v>
      </c>
      <c r="C55" s="78">
        <v>1</v>
      </c>
      <c r="D55" s="79">
        <f t="shared" si="14"/>
        <v>1</v>
      </c>
      <c r="E55" s="78"/>
      <c r="F55" s="79"/>
      <c r="G55" s="78"/>
      <c r="H55" s="79"/>
      <c r="I55" s="78"/>
      <c r="J55" s="79"/>
      <c r="K55" s="79">
        <f t="shared" si="15"/>
        <v>0</v>
      </c>
      <c r="L55" s="79">
        <f t="shared" si="16"/>
        <v>0</v>
      </c>
      <c r="M55" s="80">
        <f t="shared" si="17"/>
        <v>2</v>
      </c>
      <c r="N55" s="81">
        <f>16/B55</f>
        <v>16</v>
      </c>
    </row>
    <row r="56" spans="1:16" s="82" customFormat="1" ht="15" customHeight="1" x14ac:dyDescent="0.25">
      <c r="A56" s="76" t="s">
        <v>146</v>
      </c>
      <c r="B56" s="77">
        <v>3</v>
      </c>
      <c r="C56" s="78">
        <v>2</v>
      </c>
      <c r="D56" s="79">
        <f t="shared" si="14"/>
        <v>0.66666666666666663</v>
      </c>
      <c r="E56" s="78">
        <v>1</v>
      </c>
      <c r="F56" s="79">
        <f>E56/B56</f>
        <v>0.33333333333333331</v>
      </c>
      <c r="G56" s="78"/>
      <c r="H56" s="79"/>
      <c r="I56" s="78"/>
      <c r="J56" s="79"/>
      <c r="K56" s="79">
        <f t="shared" si="15"/>
        <v>0</v>
      </c>
      <c r="L56" s="79">
        <f t="shared" si="16"/>
        <v>0.33333333333333331</v>
      </c>
      <c r="M56" s="80">
        <f t="shared" si="17"/>
        <v>2.3333333333333335</v>
      </c>
      <c r="N56" s="81">
        <f>86/B56</f>
        <v>28.666666666666668</v>
      </c>
    </row>
    <row r="57" spans="1:16" s="82" customFormat="1" ht="15" customHeight="1" x14ac:dyDescent="0.25">
      <c r="A57" s="76" t="s">
        <v>152</v>
      </c>
      <c r="B57" s="77">
        <v>5</v>
      </c>
      <c r="C57" s="78">
        <v>4</v>
      </c>
      <c r="D57" s="79">
        <f t="shared" si="14"/>
        <v>0.8</v>
      </c>
      <c r="E57" s="78">
        <v>1</v>
      </c>
      <c r="F57" s="79">
        <f>E57/B57</f>
        <v>0.2</v>
      </c>
      <c r="G57" s="78"/>
      <c r="H57" s="79"/>
      <c r="I57" s="78"/>
      <c r="J57" s="79"/>
      <c r="K57" s="79">
        <f t="shared" si="15"/>
        <v>0</v>
      </c>
      <c r="L57" s="79">
        <f t="shared" si="16"/>
        <v>0.2</v>
      </c>
      <c r="M57" s="80">
        <f t="shared" si="17"/>
        <v>2.2000000000000002</v>
      </c>
      <c r="N57" s="81">
        <f>143/B57</f>
        <v>28.6</v>
      </c>
    </row>
    <row r="58" spans="1:16" s="82" customFormat="1" ht="15" customHeight="1" x14ac:dyDescent="0.25">
      <c r="A58" s="76" t="s">
        <v>165</v>
      </c>
      <c r="B58" s="77">
        <v>7</v>
      </c>
      <c r="C58" s="78">
        <v>7</v>
      </c>
      <c r="D58" s="79">
        <f t="shared" si="14"/>
        <v>1</v>
      </c>
      <c r="E58" s="78"/>
      <c r="F58" s="79"/>
      <c r="G58" s="78"/>
      <c r="H58" s="79"/>
      <c r="I58" s="78"/>
      <c r="J58" s="79"/>
      <c r="K58" s="79">
        <f t="shared" si="15"/>
        <v>0</v>
      </c>
      <c r="L58" s="79">
        <f t="shared" si="16"/>
        <v>0</v>
      </c>
      <c r="M58" s="80">
        <f t="shared" si="17"/>
        <v>2</v>
      </c>
      <c r="N58" s="81">
        <f>131/B58</f>
        <v>18.714285714285715</v>
      </c>
    </row>
    <row r="59" spans="1:16" s="82" customFormat="1" ht="15" customHeight="1" x14ac:dyDescent="0.25">
      <c r="A59" s="76" t="s">
        <v>186</v>
      </c>
      <c r="B59" s="77">
        <v>1</v>
      </c>
      <c r="C59" s="78"/>
      <c r="D59" s="79"/>
      <c r="E59" s="78">
        <v>1</v>
      </c>
      <c r="F59" s="79">
        <f>E59/B59</f>
        <v>1</v>
      </c>
      <c r="G59" s="78"/>
      <c r="H59" s="79"/>
      <c r="I59" s="78"/>
      <c r="J59" s="79"/>
      <c r="K59" s="79">
        <f t="shared" si="15"/>
        <v>0</v>
      </c>
      <c r="L59" s="79">
        <f t="shared" si="16"/>
        <v>1</v>
      </c>
      <c r="M59" s="80">
        <f t="shared" si="17"/>
        <v>3</v>
      </c>
      <c r="N59" s="81">
        <f>53/B59</f>
        <v>53</v>
      </c>
    </row>
    <row r="60" spans="1:16" s="82" customFormat="1" ht="9.75" customHeight="1" x14ac:dyDescent="0.25">
      <c r="A60" s="76"/>
      <c r="B60" s="77"/>
      <c r="C60" s="78"/>
      <c r="D60" s="79"/>
      <c r="E60" s="78"/>
      <c r="F60" s="79"/>
      <c r="G60" s="78"/>
      <c r="H60" s="79"/>
      <c r="I60" s="78"/>
      <c r="J60" s="79"/>
      <c r="K60" s="79"/>
      <c r="L60" s="79"/>
      <c r="M60" s="80"/>
      <c r="N60" s="81"/>
    </row>
    <row r="61" spans="1:16" s="102" customFormat="1" ht="14.25" customHeight="1" x14ac:dyDescent="0.25">
      <c r="A61" s="74" t="s">
        <v>71</v>
      </c>
      <c r="B61" s="66">
        <f>SUM(B62)</f>
        <v>1</v>
      </c>
      <c r="C61" s="66">
        <f>SUM(C62)</f>
        <v>0</v>
      </c>
      <c r="D61" s="58">
        <f>C61/B61</f>
        <v>0</v>
      </c>
      <c r="E61" s="66">
        <f>SUM(E62)</f>
        <v>1</v>
      </c>
      <c r="F61" s="58">
        <f>E61/B61</f>
        <v>1</v>
      </c>
      <c r="G61" s="66">
        <f>SUM(G62)</f>
        <v>0</v>
      </c>
      <c r="H61" s="58">
        <f>G61/B61</f>
        <v>0</v>
      </c>
      <c r="I61" s="66">
        <f>SUM(I62)</f>
        <v>0</v>
      </c>
      <c r="J61" s="58">
        <f>I61/B61</f>
        <v>0</v>
      </c>
      <c r="K61" s="58">
        <f t="shared" ref="K61:K62" si="18">(G61+I61)/B61</f>
        <v>0</v>
      </c>
      <c r="L61" s="58">
        <f t="shared" ref="L61:L62" si="19">(E61+G61+I61)/B61</f>
        <v>1</v>
      </c>
      <c r="M61" s="59">
        <f t="shared" ref="M61:M62" si="20">((E61*3)+(G61*4)+(I61*5)+(C61*2))/B61</f>
        <v>3</v>
      </c>
      <c r="N61" s="60">
        <f>22/B61</f>
        <v>22</v>
      </c>
      <c r="P61" s="82"/>
    </row>
    <row r="62" spans="1:16" s="101" customFormat="1" ht="14.25" customHeight="1" x14ac:dyDescent="0.25">
      <c r="A62" s="76" t="s">
        <v>140</v>
      </c>
      <c r="B62" s="72">
        <v>1</v>
      </c>
      <c r="C62" s="61"/>
      <c r="D62" s="62"/>
      <c r="E62" s="61">
        <v>1</v>
      </c>
      <c r="F62" s="62">
        <f>E62/B62</f>
        <v>1</v>
      </c>
      <c r="G62" s="61"/>
      <c r="H62" s="62"/>
      <c r="I62" s="61"/>
      <c r="J62" s="62"/>
      <c r="K62" s="62">
        <f t="shared" si="18"/>
        <v>0</v>
      </c>
      <c r="L62" s="62">
        <f t="shared" si="19"/>
        <v>1</v>
      </c>
      <c r="M62" s="63">
        <f t="shared" si="20"/>
        <v>3</v>
      </c>
      <c r="N62" s="64">
        <f>22/B62</f>
        <v>22</v>
      </c>
      <c r="P62" s="82"/>
    </row>
    <row r="63" spans="1:16" s="101" customFormat="1" ht="9.75" customHeight="1" thickBot="1" x14ac:dyDescent="0.3">
      <c r="A63" s="76"/>
      <c r="B63" s="72"/>
      <c r="C63" s="61"/>
      <c r="D63" s="62"/>
      <c r="E63" s="61"/>
      <c r="F63" s="62"/>
      <c r="G63" s="61"/>
      <c r="H63" s="62"/>
      <c r="I63" s="61"/>
      <c r="J63" s="62"/>
      <c r="K63" s="62"/>
      <c r="L63" s="62"/>
      <c r="M63" s="63"/>
      <c r="N63" s="64"/>
      <c r="P63" s="82"/>
    </row>
    <row r="64" spans="1:16" ht="13.5" thickBot="1" x14ac:dyDescent="0.3">
      <c r="A64" s="103" t="s">
        <v>213</v>
      </c>
      <c r="B64" s="104">
        <f>B61+B49+B44+B36+B28+B25+B21+B9</f>
        <v>107</v>
      </c>
      <c r="C64" s="104">
        <f>C61+C49+C44+C36+C28+C25+C21+C9</f>
        <v>56</v>
      </c>
      <c r="D64" s="105">
        <f t="shared" ref="D64" si="21">C64/B64</f>
        <v>0.52336448598130836</v>
      </c>
      <c r="E64" s="104">
        <f>E61+E49+E44+E36+E28+E25+E21+E9</f>
        <v>33</v>
      </c>
      <c r="F64" s="105">
        <f>E64/B64</f>
        <v>0.30841121495327101</v>
      </c>
      <c r="G64" s="104">
        <f>G61+G49+G44+G36+G28+G25+G21+G9</f>
        <v>12</v>
      </c>
      <c r="H64" s="106">
        <f>G64/B64</f>
        <v>0.11214953271028037</v>
      </c>
      <c r="I64" s="104">
        <f>I61+I49+I44+I36+I28+I25+I21+I9</f>
        <v>6</v>
      </c>
      <c r="J64" s="105">
        <f>I64/B64</f>
        <v>5.6074766355140186E-2</v>
      </c>
      <c r="K64" s="105">
        <f>(G64+I64)/B64</f>
        <v>0.16822429906542055</v>
      </c>
      <c r="L64" s="105">
        <f>(E64+G64+I64)/B64</f>
        <v>0.47663551401869159</v>
      </c>
      <c r="M64" s="107">
        <f>((E64*3)+(G64*4)+(I64*5)+(C64*2))/B64</f>
        <v>2.7009345794392523</v>
      </c>
      <c r="N64" s="108">
        <f>3757/B64</f>
        <v>35.112149532710283</v>
      </c>
      <c r="P64" s="82"/>
    </row>
  </sheetData>
  <mergeCells count="9">
    <mergeCell ref="N6:N7"/>
    <mergeCell ref="A2:N2"/>
    <mergeCell ref="A3:N3"/>
    <mergeCell ref="A6:A7"/>
    <mergeCell ref="B6:B7"/>
    <mergeCell ref="C6:J6"/>
    <mergeCell ref="K6:K7"/>
    <mergeCell ref="L6:L7"/>
    <mergeCell ref="M6:M7"/>
  </mergeCells>
  <pageMargins left="0.51181102362204722" right="0.31496062992125984" top="0.35433070866141736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Q22" sqref="Q22"/>
    </sheetView>
  </sheetViews>
  <sheetFormatPr defaultColWidth="9.140625" defaultRowHeight="15.75" x14ac:dyDescent="0.25"/>
  <cols>
    <col min="1" max="1" width="4.7109375" style="51" customWidth="1"/>
    <col min="2" max="2" width="22.7109375" style="52" customWidth="1"/>
    <col min="3" max="6" width="7.5703125" style="50" customWidth="1"/>
    <col min="7" max="7" width="7.5703125" style="53" customWidth="1"/>
    <col min="8" max="8" width="7.5703125" style="54" customWidth="1"/>
    <col min="9" max="14" width="7.5703125" style="50" customWidth="1"/>
    <col min="15" max="19" width="7.5703125" style="51" customWidth="1"/>
    <col min="20" max="16384" width="9.140625" style="50"/>
  </cols>
  <sheetData>
    <row r="1" spans="1:19" s="17" customFormat="1" x14ac:dyDescent="0.25">
      <c r="A1" s="165" t="s">
        <v>233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s="17" customFormat="1" ht="16.5" thickBot="1" x14ac:dyDescent="0.3">
      <c r="A2" s="15"/>
      <c r="B2" s="16"/>
      <c r="G2" s="18"/>
      <c r="H2" s="19"/>
      <c r="O2" s="15"/>
      <c r="P2" s="15"/>
      <c r="Q2" s="15"/>
      <c r="R2" s="15"/>
      <c r="S2" s="15"/>
    </row>
    <row r="3" spans="1:19" s="20" customFormat="1" ht="45" customHeight="1" thickBot="1" x14ac:dyDescent="0.3">
      <c r="A3" s="169" t="s">
        <v>203</v>
      </c>
      <c r="B3" s="171" t="s">
        <v>204</v>
      </c>
      <c r="C3" s="166" t="s">
        <v>28</v>
      </c>
      <c r="D3" s="167"/>
      <c r="E3" s="168"/>
      <c r="F3" s="166" t="s">
        <v>41</v>
      </c>
      <c r="G3" s="167"/>
      <c r="H3" s="168"/>
      <c r="I3" s="166" t="s">
        <v>205</v>
      </c>
      <c r="J3" s="167"/>
      <c r="K3" s="168"/>
      <c r="L3" s="166" t="s">
        <v>206</v>
      </c>
      <c r="M3" s="167"/>
      <c r="N3" s="168"/>
      <c r="O3" s="166" t="s">
        <v>207</v>
      </c>
      <c r="P3" s="167"/>
      <c r="Q3" s="167"/>
      <c r="R3" s="167"/>
      <c r="S3" s="168"/>
    </row>
    <row r="4" spans="1:19" s="28" customFormat="1" thickBot="1" x14ac:dyDescent="0.3">
      <c r="A4" s="170"/>
      <c r="B4" s="172"/>
      <c r="C4" s="21">
        <v>2019</v>
      </c>
      <c r="D4" s="21">
        <v>2020</v>
      </c>
      <c r="E4" s="22">
        <v>2021</v>
      </c>
      <c r="F4" s="21">
        <v>2019</v>
      </c>
      <c r="G4" s="23">
        <v>2020</v>
      </c>
      <c r="H4" s="24">
        <v>2021</v>
      </c>
      <c r="I4" s="21">
        <v>2019</v>
      </c>
      <c r="J4" s="21">
        <v>2020</v>
      </c>
      <c r="K4" s="22">
        <v>2021</v>
      </c>
      <c r="L4" s="21">
        <v>2019</v>
      </c>
      <c r="M4" s="55">
        <v>2020</v>
      </c>
      <c r="N4" s="25">
        <v>2021</v>
      </c>
      <c r="O4" s="21">
        <v>2019</v>
      </c>
      <c r="P4" s="21">
        <v>2020</v>
      </c>
      <c r="Q4" s="26" t="s">
        <v>10</v>
      </c>
      <c r="R4" s="22">
        <v>2021</v>
      </c>
      <c r="S4" s="27" t="s">
        <v>10</v>
      </c>
    </row>
    <row r="5" spans="1:19" s="31" customFormat="1" x14ac:dyDescent="0.25">
      <c r="A5" s="29">
        <v>1</v>
      </c>
      <c r="B5" s="30" t="s">
        <v>11</v>
      </c>
      <c r="C5" s="131">
        <v>86</v>
      </c>
      <c r="D5" s="132">
        <v>41</v>
      </c>
      <c r="E5" s="133">
        <v>41</v>
      </c>
      <c r="F5" s="134">
        <v>41.79</v>
      </c>
      <c r="G5" s="123">
        <v>43.22</v>
      </c>
      <c r="H5" s="124">
        <v>36.9</v>
      </c>
      <c r="I5" s="132">
        <v>36</v>
      </c>
      <c r="J5" s="135">
        <v>7</v>
      </c>
      <c r="K5" s="136">
        <v>13</v>
      </c>
      <c r="L5" s="137">
        <f t="shared" ref="L5:N8" si="0">(C5-I5)/C5</f>
        <v>0.58139534883720934</v>
      </c>
      <c r="M5" s="137">
        <f t="shared" si="0"/>
        <v>0.82926829268292679</v>
      </c>
      <c r="N5" s="138">
        <f t="shared" si="0"/>
        <v>0.68292682926829273</v>
      </c>
      <c r="O5" s="139">
        <v>0</v>
      </c>
      <c r="P5" s="139">
        <v>0</v>
      </c>
      <c r="Q5" s="140">
        <v>0</v>
      </c>
      <c r="R5" s="141">
        <v>1</v>
      </c>
      <c r="S5" s="142">
        <f>R5/E5</f>
        <v>2.4390243902439025E-2</v>
      </c>
    </row>
    <row r="6" spans="1:19" s="31" customFormat="1" x14ac:dyDescent="0.25">
      <c r="A6" s="32">
        <v>2</v>
      </c>
      <c r="B6" s="33" t="s">
        <v>208</v>
      </c>
      <c r="C6" s="143">
        <v>14</v>
      </c>
      <c r="D6" s="144">
        <v>16</v>
      </c>
      <c r="E6" s="145">
        <v>2</v>
      </c>
      <c r="F6" s="146">
        <v>49.07</v>
      </c>
      <c r="G6" s="125">
        <v>19.88</v>
      </c>
      <c r="H6" s="126">
        <v>44.5</v>
      </c>
      <c r="I6" s="144">
        <v>1</v>
      </c>
      <c r="J6" s="144">
        <v>12</v>
      </c>
      <c r="K6" s="145">
        <v>0</v>
      </c>
      <c r="L6" s="147">
        <f t="shared" si="0"/>
        <v>0.9285714285714286</v>
      </c>
      <c r="M6" s="147">
        <f t="shared" si="0"/>
        <v>0.25</v>
      </c>
      <c r="N6" s="138">
        <f t="shared" si="0"/>
        <v>1</v>
      </c>
      <c r="O6" s="139">
        <v>0</v>
      </c>
      <c r="P6" s="139">
        <v>0</v>
      </c>
      <c r="Q6" s="140">
        <v>0</v>
      </c>
      <c r="R6" s="145">
        <v>0</v>
      </c>
      <c r="S6" s="142">
        <f>R6/E6</f>
        <v>0</v>
      </c>
    </row>
    <row r="7" spans="1:19" s="31" customFormat="1" x14ac:dyDescent="0.25">
      <c r="A7" s="34">
        <v>3</v>
      </c>
      <c r="B7" s="35" t="s">
        <v>43</v>
      </c>
      <c r="C7" s="143">
        <v>7</v>
      </c>
      <c r="D7" s="144">
        <v>5</v>
      </c>
      <c r="E7" s="145">
        <v>1</v>
      </c>
      <c r="F7" s="148">
        <v>33.43</v>
      </c>
      <c r="G7" s="125">
        <v>50</v>
      </c>
      <c r="H7" s="126">
        <v>38</v>
      </c>
      <c r="I7" s="144">
        <v>4</v>
      </c>
      <c r="J7" s="144">
        <v>0</v>
      </c>
      <c r="K7" s="145">
        <v>0</v>
      </c>
      <c r="L7" s="147">
        <f t="shared" si="0"/>
        <v>0.42857142857142855</v>
      </c>
      <c r="M7" s="147">
        <f t="shared" si="0"/>
        <v>1</v>
      </c>
      <c r="N7" s="138">
        <f t="shared" si="0"/>
        <v>1</v>
      </c>
      <c r="O7" s="139">
        <v>0</v>
      </c>
      <c r="P7" s="139">
        <v>0</v>
      </c>
      <c r="Q7" s="140">
        <v>0</v>
      </c>
      <c r="R7" s="145">
        <v>0</v>
      </c>
      <c r="S7" s="142">
        <f>R7/E7</f>
        <v>0</v>
      </c>
    </row>
    <row r="8" spans="1:19" s="31" customFormat="1" x14ac:dyDescent="0.25">
      <c r="A8" s="32">
        <v>4</v>
      </c>
      <c r="B8" s="35" t="s">
        <v>44</v>
      </c>
      <c r="C8" s="143">
        <v>28</v>
      </c>
      <c r="D8" s="144">
        <v>11</v>
      </c>
      <c r="E8" s="145">
        <v>11</v>
      </c>
      <c r="F8" s="148">
        <v>47.07</v>
      </c>
      <c r="G8" s="125">
        <v>19.91</v>
      </c>
      <c r="H8" s="126">
        <v>67.180000000000007</v>
      </c>
      <c r="I8" s="144">
        <v>6</v>
      </c>
      <c r="J8" s="144">
        <v>9</v>
      </c>
      <c r="K8" s="145">
        <v>0</v>
      </c>
      <c r="L8" s="147">
        <f t="shared" si="0"/>
        <v>0.7857142857142857</v>
      </c>
      <c r="M8" s="147">
        <f t="shared" si="0"/>
        <v>0.18181818181818182</v>
      </c>
      <c r="N8" s="138">
        <f t="shared" si="0"/>
        <v>1</v>
      </c>
      <c r="O8" s="139">
        <v>0</v>
      </c>
      <c r="P8" s="139">
        <v>0</v>
      </c>
      <c r="Q8" s="140">
        <v>0</v>
      </c>
      <c r="R8" s="145">
        <v>1</v>
      </c>
      <c r="S8" s="142">
        <f>R8/E8</f>
        <v>9.0909090909090912E-2</v>
      </c>
    </row>
    <row r="9" spans="1:19" s="31" customFormat="1" x14ac:dyDescent="0.25">
      <c r="A9" s="34">
        <v>5</v>
      </c>
      <c r="B9" s="35" t="s">
        <v>209</v>
      </c>
      <c r="C9" s="143">
        <v>2</v>
      </c>
      <c r="D9" s="144">
        <v>0</v>
      </c>
      <c r="E9" s="145">
        <v>0</v>
      </c>
      <c r="F9" s="148">
        <v>45</v>
      </c>
      <c r="G9" s="125">
        <v>0</v>
      </c>
      <c r="H9" s="126">
        <v>0</v>
      </c>
      <c r="I9" s="144">
        <v>0</v>
      </c>
      <c r="J9" s="144">
        <v>0</v>
      </c>
      <c r="K9" s="145">
        <v>0</v>
      </c>
      <c r="L9" s="147">
        <f t="shared" ref="L9:L16" si="1">(C9-I9)/C9</f>
        <v>1</v>
      </c>
      <c r="M9" s="147">
        <v>0</v>
      </c>
      <c r="N9" s="138">
        <v>0</v>
      </c>
      <c r="O9" s="139">
        <v>0</v>
      </c>
      <c r="P9" s="139">
        <v>0</v>
      </c>
      <c r="Q9" s="140">
        <v>0</v>
      </c>
      <c r="R9" s="145">
        <v>0</v>
      </c>
      <c r="S9" s="142">
        <v>0</v>
      </c>
    </row>
    <row r="10" spans="1:19" s="31" customFormat="1" x14ac:dyDescent="0.25">
      <c r="A10" s="32">
        <v>6</v>
      </c>
      <c r="B10" s="35" t="s">
        <v>45</v>
      </c>
      <c r="C10" s="143">
        <v>40</v>
      </c>
      <c r="D10" s="144">
        <v>14</v>
      </c>
      <c r="E10" s="145">
        <v>20</v>
      </c>
      <c r="F10" s="148">
        <v>29.73</v>
      </c>
      <c r="G10" s="125">
        <v>31.21</v>
      </c>
      <c r="H10" s="126">
        <v>29.3</v>
      </c>
      <c r="I10" s="144">
        <v>28</v>
      </c>
      <c r="J10" s="144">
        <v>8</v>
      </c>
      <c r="K10" s="145">
        <v>14</v>
      </c>
      <c r="L10" s="147">
        <f t="shared" si="1"/>
        <v>0.3</v>
      </c>
      <c r="M10" s="147">
        <f>(D10-J10)/D10</f>
        <v>0.42857142857142855</v>
      </c>
      <c r="N10" s="138">
        <f>(E10-K10)/E10</f>
        <v>0.3</v>
      </c>
      <c r="O10" s="139">
        <v>0</v>
      </c>
      <c r="P10" s="139">
        <v>0</v>
      </c>
      <c r="Q10" s="140">
        <v>0</v>
      </c>
      <c r="R10" s="145">
        <v>0</v>
      </c>
      <c r="S10" s="142">
        <f>R10/E10</f>
        <v>0</v>
      </c>
    </row>
    <row r="11" spans="1:19" s="31" customFormat="1" x14ac:dyDescent="0.25">
      <c r="A11" s="34">
        <v>7</v>
      </c>
      <c r="B11" s="35" t="s">
        <v>46</v>
      </c>
      <c r="C11" s="143">
        <v>6</v>
      </c>
      <c r="D11" s="144">
        <v>10</v>
      </c>
      <c r="E11" s="145">
        <v>4</v>
      </c>
      <c r="F11" s="148">
        <v>38</v>
      </c>
      <c r="G11" s="125">
        <v>45.2</v>
      </c>
      <c r="H11" s="126">
        <v>30.25</v>
      </c>
      <c r="I11" s="144">
        <v>1</v>
      </c>
      <c r="J11" s="144">
        <v>1</v>
      </c>
      <c r="K11" s="145">
        <v>2</v>
      </c>
      <c r="L11" s="147">
        <f t="shared" si="1"/>
        <v>0.83333333333333337</v>
      </c>
      <c r="M11" s="147">
        <f>(D11-J11)/D11</f>
        <v>0.9</v>
      </c>
      <c r="N11" s="138">
        <f>(E11-K11)/E11</f>
        <v>0.5</v>
      </c>
      <c r="O11" s="139">
        <v>0</v>
      </c>
      <c r="P11" s="139">
        <v>0</v>
      </c>
      <c r="Q11" s="140">
        <v>0</v>
      </c>
      <c r="R11" s="145">
        <v>0</v>
      </c>
      <c r="S11" s="142">
        <f>R11/E11</f>
        <v>0</v>
      </c>
    </row>
    <row r="12" spans="1:19" s="31" customFormat="1" x14ac:dyDescent="0.25">
      <c r="A12" s="32">
        <v>8</v>
      </c>
      <c r="B12" s="35" t="s">
        <v>210</v>
      </c>
      <c r="C12" s="143">
        <v>2</v>
      </c>
      <c r="D12" s="144">
        <v>0</v>
      </c>
      <c r="E12" s="145">
        <v>0</v>
      </c>
      <c r="F12" s="148">
        <v>40</v>
      </c>
      <c r="G12" s="125">
        <v>0</v>
      </c>
      <c r="H12" s="126">
        <v>0</v>
      </c>
      <c r="I12" s="144">
        <v>1</v>
      </c>
      <c r="J12" s="144">
        <v>0</v>
      </c>
      <c r="K12" s="145">
        <v>0</v>
      </c>
      <c r="L12" s="147">
        <f t="shared" si="1"/>
        <v>0.5</v>
      </c>
      <c r="M12" s="147">
        <v>0</v>
      </c>
      <c r="N12" s="138">
        <v>0</v>
      </c>
      <c r="O12" s="139">
        <v>0</v>
      </c>
      <c r="P12" s="139">
        <v>0</v>
      </c>
      <c r="Q12" s="140">
        <v>0</v>
      </c>
      <c r="R12" s="145">
        <v>0</v>
      </c>
      <c r="S12" s="142">
        <v>0</v>
      </c>
    </row>
    <row r="13" spans="1:19" s="36" customFormat="1" x14ac:dyDescent="0.25">
      <c r="A13" s="34">
        <v>9</v>
      </c>
      <c r="B13" s="35" t="s">
        <v>47</v>
      </c>
      <c r="C13" s="143">
        <v>48</v>
      </c>
      <c r="D13" s="144">
        <v>36</v>
      </c>
      <c r="E13" s="145">
        <v>28</v>
      </c>
      <c r="F13" s="148">
        <v>48</v>
      </c>
      <c r="G13" s="125">
        <v>25.36</v>
      </c>
      <c r="H13" s="126">
        <v>24.5</v>
      </c>
      <c r="I13" s="144">
        <v>38</v>
      </c>
      <c r="J13" s="144">
        <v>32</v>
      </c>
      <c r="K13" s="145">
        <v>23</v>
      </c>
      <c r="L13" s="147">
        <f t="shared" si="1"/>
        <v>0.20833333333333334</v>
      </c>
      <c r="M13" s="147">
        <f>(D13-J13)/D13</f>
        <v>0.1111111111111111</v>
      </c>
      <c r="N13" s="138">
        <f>(E13-K13)/E13</f>
        <v>0.17857142857142858</v>
      </c>
      <c r="O13" s="139">
        <v>0</v>
      </c>
      <c r="P13" s="139">
        <v>0</v>
      </c>
      <c r="Q13" s="140">
        <v>0</v>
      </c>
      <c r="R13" s="145">
        <v>0</v>
      </c>
      <c r="S13" s="142">
        <f>R13/E13</f>
        <v>0</v>
      </c>
    </row>
    <row r="14" spans="1:19" s="31" customFormat="1" x14ac:dyDescent="0.25">
      <c r="A14" s="32">
        <v>10</v>
      </c>
      <c r="B14" s="35" t="s">
        <v>211</v>
      </c>
      <c r="C14" s="143">
        <v>4</v>
      </c>
      <c r="D14" s="144">
        <v>5</v>
      </c>
      <c r="E14" s="145">
        <v>1</v>
      </c>
      <c r="F14" s="148">
        <v>34.5</v>
      </c>
      <c r="G14" s="125">
        <v>33.200000000000003</v>
      </c>
      <c r="H14" s="126">
        <v>22</v>
      </c>
      <c r="I14" s="144">
        <v>1</v>
      </c>
      <c r="J14" s="144">
        <v>2</v>
      </c>
      <c r="K14" s="145">
        <v>1</v>
      </c>
      <c r="L14" s="147">
        <f t="shared" si="1"/>
        <v>0.75</v>
      </c>
      <c r="M14" s="147">
        <f>(D14-J14)/D14</f>
        <v>0.6</v>
      </c>
      <c r="N14" s="138">
        <f>(E14-K14)/E14</f>
        <v>0</v>
      </c>
      <c r="O14" s="139">
        <v>0</v>
      </c>
      <c r="P14" s="139">
        <v>0</v>
      </c>
      <c r="Q14" s="140">
        <v>0</v>
      </c>
      <c r="R14" s="145">
        <v>0</v>
      </c>
      <c r="S14" s="142">
        <f>R14/E14</f>
        <v>0</v>
      </c>
    </row>
    <row r="15" spans="1:19" s="31" customFormat="1" ht="16.5" thickBot="1" x14ac:dyDescent="0.3">
      <c r="A15" s="56">
        <v>11</v>
      </c>
      <c r="B15" s="37" t="s">
        <v>212</v>
      </c>
      <c r="C15" s="149">
        <v>2</v>
      </c>
      <c r="D15" s="150">
        <v>2</v>
      </c>
      <c r="E15" s="151">
        <v>0</v>
      </c>
      <c r="F15" s="152">
        <v>27.5</v>
      </c>
      <c r="G15" s="127">
        <v>11</v>
      </c>
      <c r="H15" s="128">
        <v>0</v>
      </c>
      <c r="I15" s="150">
        <v>1</v>
      </c>
      <c r="J15" s="150">
        <v>2</v>
      </c>
      <c r="K15" s="151">
        <v>0</v>
      </c>
      <c r="L15" s="147">
        <f t="shared" si="1"/>
        <v>0.5</v>
      </c>
      <c r="M15" s="147">
        <f>(D15-J15)/D15</f>
        <v>0</v>
      </c>
      <c r="N15" s="153">
        <v>0</v>
      </c>
      <c r="O15" s="139">
        <v>0</v>
      </c>
      <c r="P15" s="139">
        <v>0</v>
      </c>
      <c r="Q15" s="154">
        <v>0</v>
      </c>
      <c r="R15" s="151">
        <v>0</v>
      </c>
      <c r="S15" s="155">
        <v>0</v>
      </c>
    </row>
    <row r="16" spans="1:19" s="40" customFormat="1" thickBot="1" x14ac:dyDescent="0.3">
      <c r="A16" s="38"/>
      <c r="B16" s="39" t="s">
        <v>213</v>
      </c>
      <c r="C16" s="156">
        <f t="shared" ref="C16:D16" si="2">SUM(C5:C15)</f>
        <v>239</v>
      </c>
      <c r="D16" s="156">
        <f t="shared" si="2"/>
        <v>140</v>
      </c>
      <c r="E16" s="157">
        <f>SUM(E5:E15)</f>
        <v>108</v>
      </c>
      <c r="F16" s="156">
        <v>37.83</v>
      </c>
      <c r="G16" s="129">
        <v>32.49</v>
      </c>
      <c r="H16" s="130">
        <v>35.11</v>
      </c>
      <c r="I16" s="156">
        <f t="shared" ref="I16" si="3">SUM(I5:I15)</f>
        <v>117</v>
      </c>
      <c r="J16" s="156">
        <f t="shared" ref="J16" si="4">SUM(J5:J15)</f>
        <v>73</v>
      </c>
      <c r="K16" s="157">
        <f>SUM(K5:K15)</f>
        <v>53</v>
      </c>
      <c r="L16" s="158">
        <f t="shared" si="1"/>
        <v>0.5104602510460251</v>
      </c>
      <c r="M16" s="158">
        <f>(D16-J16)/D16</f>
        <v>0.47857142857142859</v>
      </c>
      <c r="N16" s="159">
        <f>(E16-K16)/E16</f>
        <v>0.5092592592592593</v>
      </c>
      <c r="O16" s="160">
        <v>0</v>
      </c>
      <c r="P16" s="160">
        <v>0</v>
      </c>
      <c r="Q16" s="161">
        <v>0</v>
      </c>
      <c r="R16" s="157">
        <f>SUM(R5:R15)</f>
        <v>2</v>
      </c>
      <c r="S16" s="162">
        <f>R16/E16</f>
        <v>1.8518518518518517E-2</v>
      </c>
    </row>
    <row r="17" spans="1:19" s="49" customFormat="1" x14ac:dyDescent="0.25">
      <c r="A17" s="41" t="s">
        <v>214</v>
      </c>
      <c r="B17" s="42"/>
      <c r="C17" s="43"/>
      <c r="D17" s="43"/>
      <c r="E17" s="44"/>
      <c r="F17" s="43"/>
      <c r="G17" s="45"/>
      <c r="H17" s="46"/>
      <c r="I17" s="43"/>
      <c r="J17" s="43"/>
      <c r="K17" s="44"/>
      <c r="L17" s="47"/>
      <c r="M17" s="47"/>
      <c r="N17" s="48"/>
      <c r="O17" s="43"/>
      <c r="P17" s="43"/>
      <c r="Q17" s="43"/>
      <c r="R17" s="43"/>
      <c r="S17" s="44"/>
    </row>
  </sheetData>
  <mergeCells count="8">
    <mergeCell ref="A1:S1"/>
    <mergeCell ref="C3:E3"/>
    <mergeCell ref="F3:H3"/>
    <mergeCell ref="I3:K3"/>
    <mergeCell ref="L3:N3"/>
    <mergeCell ref="O3:S3"/>
    <mergeCell ref="A3:A4"/>
    <mergeCell ref="B3:B4"/>
  </mergeCells>
  <pageMargins left="0.31496062992125984" right="0.11811023622047245" top="0.74803149606299213" bottom="0.74803149606299213" header="0.31496062992125984" footer="0.31496062992125984"/>
  <pageSetup paperSize="9" scale="90" orientation="landscape" verticalDpi="0" r:id="rId1"/>
  <ignoredErrors>
    <ignoredError sqref="C16:E16 I16:K16 R16:S16 N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13" sqref="G13"/>
    </sheetView>
  </sheetViews>
  <sheetFormatPr defaultRowHeight="15" x14ac:dyDescent="0.25"/>
  <cols>
    <col min="1" max="1" width="38.140625" customWidth="1"/>
    <col min="2" max="10" width="11.140625" customWidth="1"/>
  </cols>
  <sheetData>
    <row r="1" spans="1:10" x14ac:dyDescent="0.25">
      <c r="A1" s="3" t="s">
        <v>202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1" t="s">
        <v>193</v>
      </c>
      <c r="B3" s="1" t="s">
        <v>2</v>
      </c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</row>
    <row r="4" spans="1:10" x14ac:dyDescent="0.25">
      <c r="A4" t="s">
        <v>12</v>
      </c>
      <c r="B4" s="4">
        <v>3</v>
      </c>
      <c r="C4" s="4">
        <v>3</v>
      </c>
      <c r="D4" s="4">
        <v>100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</row>
    <row r="5" spans="1:10" x14ac:dyDescent="0.25">
      <c r="A5" t="s">
        <v>13</v>
      </c>
      <c r="B5" s="4">
        <v>4</v>
      </c>
      <c r="C5" s="4">
        <v>4</v>
      </c>
      <c r="D5" s="4">
        <v>100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</row>
    <row r="6" spans="1:10" x14ac:dyDescent="0.25">
      <c r="A6" t="s">
        <v>14</v>
      </c>
      <c r="B6" s="4">
        <v>9</v>
      </c>
      <c r="C6" s="4">
        <v>7</v>
      </c>
      <c r="D6" s="4">
        <v>77.78</v>
      </c>
      <c r="E6" s="4">
        <v>2</v>
      </c>
      <c r="F6" s="4">
        <v>22.22</v>
      </c>
      <c r="G6" s="4">
        <v>0</v>
      </c>
      <c r="H6" s="4">
        <v>0</v>
      </c>
      <c r="I6" s="4">
        <v>0</v>
      </c>
      <c r="J6" s="4">
        <v>0</v>
      </c>
    </row>
    <row r="7" spans="1:10" x14ac:dyDescent="0.25">
      <c r="A7" t="s">
        <v>15</v>
      </c>
      <c r="B7" s="4">
        <v>1</v>
      </c>
      <c r="C7" s="4">
        <v>1</v>
      </c>
      <c r="D7" s="4">
        <v>100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x14ac:dyDescent="0.25">
      <c r="A8" t="s">
        <v>16</v>
      </c>
      <c r="B8" s="4">
        <v>3</v>
      </c>
      <c r="C8" s="4">
        <v>2</v>
      </c>
      <c r="D8" s="4">
        <v>66.67</v>
      </c>
      <c r="E8" s="4">
        <v>1</v>
      </c>
      <c r="F8" s="4">
        <v>33.33</v>
      </c>
      <c r="G8" s="4">
        <v>0</v>
      </c>
      <c r="H8" s="4">
        <v>0</v>
      </c>
      <c r="I8" s="4">
        <v>0</v>
      </c>
      <c r="J8" s="4">
        <v>0</v>
      </c>
    </row>
    <row r="9" spans="1:10" x14ac:dyDescent="0.25">
      <c r="A9" t="s">
        <v>17</v>
      </c>
      <c r="B9" s="4">
        <v>2</v>
      </c>
      <c r="C9" s="4">
        <v>1</v>
      </c>
      <c r="D9" s="4">
        <v>50</v>
      </c>
      <c r="E9" s="4">
        <v>1</v>
      </c>
      <c r="F9" s="4">
        <v>50</v>
      </c>
      <c r="G9" s="4">
        <v>0</v>
      </c>
      <c r="H9" s="4">
        <v>0</v>
      </c>
      <c r="I9" s="4">
        <v>0</v>
      </c>
      <c r="J9" s="4">
        <v>0</v>
      </c>
    </row>
    <row r="10" spans="1:10" x14ac:dyDescent="0.25">
      <c r="A10" t="s">
        <v>19</v>
      </c>
      <c r="B10" s="4">
        <v>3</v>
      </c>
      <c r="C10" s="4">
        <v>3</v>
      </c>
      <c r="D10" s="4">
        <v>100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x14ac:dyDescent="0.25">
      <c r="A11" t="s">
        <v>21</v>
      </c>
      <c r="B11" s="4">
        <v>5</v>
      </c>
      <c r="C11" s="4">
        <v>5</v>
      </c>
      <c r="D11" s="4">
        <v>100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x14ac:dyDescent="0.25">
      <c r="A12" t="s">
        <v>23</v>
      </c>
      <c r="B12" s="4">
        <v>9</v>
      </c>
      <c r="C12" s="4">
        <v>9</v>
      </c>
      <c r="D12" s="4">
        <v>100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25">
      <c r="A13" t="s">
        <v>24</v>
      </c>
      <c r="B13" s="4">
        <v>3</v>
      </c>
      <c r="C13" s="4">
        <v>1</v>
      </c>
      <c r="D13" s="4">
        <v>33.33</v>
      </c>
      <c r="E13" s="4">
        <v>1</v>
      </c>
      <c r="F13" s="4">
        <v>33.33</v>
      </c>
      <c r="G13" s="4">
        <v>1</v>
      </c>
      <c r="H13" s="4">
        <v>33.33</v>
      </c>
      <c r="I13" s="4">
        <v>0</v>
      </c>
      <c r="J13" s="4">
        <v>0</v>
      </c>
    </row>
  </sheetData>
  <pageMargins left="0.70866141732283472" right="0.31496062992125984" top="0.74803149606299213" bottom="0.74803149606299213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B49" sqref="B49"/>
    </sheetView>
  </sheetViews>
  <sheetFormatPr defaultRowHeight="15" x14ac:dyDescent="0.25"/>
  <cols>
    <col min="1" max="1" width="10" customWidth="1"/>
    <col min="2" max="2" width="30.28515625" customWidth="1"/>
    <col min="3" max="3" width="19.28515625" customWidth="1"/>
    <col min="4" max="4" width="17.140625" customWidth="1"/>
    <col min="5" max="5" width="22" customWidth="1"/>
    <col min="6" max="6" width="18.28515625" customWidth="1"/>
    <col min="7" max="7" width="11.28515625" customWidth="1"/>
    <col min="8" max="8" width="15.5703125" customWidth="1"/>
  </cols>
  <sheetData>
    <row r="1" spans="1:8" x14ac:dyDescent="0.25">
      <c r="A1" s="9" t="s">
        <v>79</v>
      </c>
    </row>
    <row r="3" spans="1:8" ht="60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</row>
    <row r="4" spans="1:8" x14ac:dyDescent="0.25">
      <c r="A4" s="4">
        <v>410003</v>
      </c>
      <c r="B4" t="s">
        <v>88</v>
      </c>
      <c r="C4" t="s">
        <v>89</v>
      </c>
      <c r="D4" t="s">
        <v>90</v>
      </c>
      <c r="E4" t="s">
        <v>91</v>
      </c>
      <c r="F4" s="4">
        <v>157</v>
      </c>
      <c r="G4" s="4">
        <v>3</v>
      </c>
      <c r="H4" s="4">
        <v>157</v>
      </c>
    </row>
    <row r="5" spans="1:8" x14ac:dyDescent="0.25">
      <c r="A5" s="4">
        <v>410003</v>
      </c>
      <c r="B5" t="s">
        <v>88</v>
      </c>
      <c r="C5" t="s">
        <v>89</v>
      </c>
      <c r="D5" t="s">
        <v>92</v>
      </c>
      <c r="E5" t="s">
        <v>93</v>
      </c>
      <c r="F5" s="4">
        <v>141</v>
      </c>
      <c r="G5" s="4">
        <v>3</v>
      </c>
      <c r="H5" s="4">
        <v>141</v>
      </c>
    </row>
    <row r="6" spans="1:8" x14ac:dyDescent="0.25">
      <c r="A6" s="4">
        <v>410003</v>
      </c>
      <c r="B6" t="s">
        <v>88</v>
      </c>
      <c r="C6" t="s">
        <v>94</v>
      </c>
      <c r="D6" t="s">
        <v>95</v>
      </c>
      <c r="E6" t="s">
        <v>96</v>
      </c>
      <c r="F6" s="4">
        <v>87</v>
      </c>
      <c r="G6" s="4">
        <v>3</v>
      </c>
      <c r="H6" s="4">
        <v>87</v>
      </c>
    </row>
    <row r="7" spans="1:8" x14ac:dyDescent="0.25">
      <c r="A7" s="4">
        <v>410004</v>
      </c>
      <c r="B7" t="s">
        <v>97</v>
      </c>
      <c r="C7" t="s">
        <v>98</v>
      </c>
      <c r="D7" t="s">
        <v>99</v>
      </c>
      <c r="E7" t="s">
        <v>100</v>
      </c>
      <c r="F7" s="4">
        <v>40</v>
      </c>
      <c r="G7" s="4">
        <v>2</v>
      </c>
      <c r="H7" s="4">
        <v>40</v>
      </c>
    </row>
    <row r="8" spans="1:8" x14ac:dyDescent="0.25">
      <c r="A8" s="4">
        <v>410004</v>
      </c>
      <c r="B8" t="s">
        <v>97</v>
      </c>
      <c r="C8" t="s">
        <v>98</v>
      </c>
      <c r="D8" t="s">
        <v>101</v>
      </c>
      <c r="E8" t="s">
        <v>102</v>
      </c>
      <c r="F8" s="4">
        <v>69</v>
      </c>
      <c r="G8" s="4">
        <v>2</v>
      </c>
      <c r="H8" s="4">
        <v>69</v>
      </c>
    </row>
    <row r="9" spans="1:8" x14ac:dyDescent="0.25">
      <c r="A9" s="4">
        <v>410004</v>
      </c>
      <c r="B9" t="s">
        <v>97</v>
      </c>
      <c r="C9" t="s">
        <v>98</v>
      </c>
      <c r="D9" t="s">
        <v>103</v>
      </c>
      <c r="E9" t="s">
        <v>104</v>
      </c>
      <c r="F9" s="4">
        <v>12</v>
      </c>
      <c r="G9" s="4">
        <v>2</v>
      </c>
      <c r="H9" s="4">
        <v>12</v>
      </c>
    </row>
    <row r="10" spans="1:8" x14ac:dyDescent="0.25">
      <c r="A10" s="4">
        <v>410004</v>
      </c>
      <c r="B10" t="s">
        <v>97</v>
      </c>
      <c r="C10" t="s">
        <v>98</v>
      </c>
      <c r="D10" t="s">
        <v>105</v>
      </c>
      <c r="E10" t="s">
        <v>106</v>
      </c>
      <c r="F10" s="4">
        <v>71</v>
      </c>
      <c r="G10" s="4">
        <v>2</v>
      </c>
      <c r="H10" s="4">
        <v>71</v>
      </c>
    </row>
    <row r="11" spans="1:8" x14ac:dyDescent="0.25">
      <c r="A11" s="4">
        <v>410005</v>
      </c>
      <c r="B11" t="s">
        <v>107</v>
      </c>
      <c r="C11" t="s">
        <v>108</v>
      </c>
      <c r="D11" t="s">
        <v>109</v>
      </c>
      <c r="E11" t="s">
        <v>110</v>
      </c>
      <c r="F11" s="4">
        <v>199</v>
      </c>
      <c r="G11" s="4">
        <v>3</v>
      </c>
      <c r="H11" s="4">
        <v>199</v>
      </c>
    </row>
    <row r="12" spans="1:8" x14ac:dyDescent="0.25">
      <c r="A12" s="4">
        <v>410005</v>
      </c>
      <c r="B12" t="s">
        <v>107</v>
      </c>
      <c r="C12" t="s">
        <v>111</v>
      </c>
      <c r="D12" t="s">
        <v>112</v>
      </c>
      <c r="E12" t="s">
        <v>113</v>
      </c>
      <c r="F12" s="4">
        <v>30</v>
      </c>
      <c r="G12" s="4">
        <v>2</v>
      </c>
      <c r="H12" s="4">
        <v>30</v>
      </c>
    </row>
    <row r="13" spans="1:8" x14ac:dyDescent="0.25">
      <c r="A13" s="4">
        <v>410005</v>
      </c>
      <c r="B13" t="s">
        <v>107</v>
      </c>
      <c r="C13" t="s">
        <v>111</v>
      </c>
      <c r="D13" t="s">
        <v>114</v>
      </c>
      <c r="E13" t="s">
        <v>115</v>
      </c>
      <c r="F13" s="4">
        <v>35</v>
      </c>
      <c r="G13" s="4">
        <v>2</v>
      </c>
      <c r="H13" s="4">
        <v>35</v>
      </c>
    </row>
    <row r="14" spans="1:8" x14ac:dyDescent="0.25">
      <c r="A14" s="4">
        <v>410005</v>
      </c>
      <c r="B14" t="s">
        <v>107</v>
      </c>
      <c r="C14" t="s">
        <v>116</v>
      </c>
      <c r="D14" t="s">
        <v>112</v>
      </c>
      <c r="E14" t="s">
        <v>96</v>
      </c>
      <c r="F14" s="4">
        <v>26</v>
      </c>
      <c r="G14" s="4">
        <v>2</v>
      </c>
      <c r="H14" s="4">
        <v>26</v>
      </c>
    </row>
    <row r="15" spans="1:8" x14ac:dyDescent="0.25">
      <c r="A15" s="4">
        <v>410005</v>
      </c>
      <c r="B15" t="s">
        <v>107</v>
      </c>
      <c r="C15" t="s">
        <v>117</v>
      </c>
      <c r="D15" t="s">
        <v>118</v>
      </c>
      <c r="E15" t="s">
        <v>119</v>
      </c>
      <c r="F15" s="4">
        <v>45</v>
      </c>
      <c r="G15" s="4">
        <v>3</v>
      </c>
      <c r="H15" s="4">
        <v>45</v>
      </c>
    </row>
    <row r="16" spans="1:8" x14ac:dyDescent="0.25">
      <c r="A16" s="4">
        <v>410005</v>
      </c>
      <c r="B16" t="s">
        <v>107</v>
      </c>
      <c r="C16" t="s">
        <v>120</v>
      </c>
      <c r="D16" t="s">
        <v>121</v>
      </c>
      <c r="E16" t="s">
        <v>122</v>
      </c>
      <c r="F16" s="4">
        <v>41</v>
      </c>
      <c r="G16" s="4">
        <v>1</v>
      </c>
      <c r="H16" s="4">
        <v>41</v>
      </c>
    </row>
    <row r="17" spans="1:8" x14ac:dyDescent="0.25">
      <c r="A17" s="4">
        <v>410005</v>
      </c>
      <c r="B17" t="s">
        <v>107</v>
      </c>
      <c r="C17" t="s">
        <v>123</v>
      </c>
      <c r="D17" t="s">
        <v>90</v>
      </c>
      <c r="E17" t="s">
        <v>124</v>
      </c>
      <c r="F17" s="4">
        <v>112</v>
      </c>
      <c r="G17" s="4">
        <v>3</v>
      </c>
      <c r="H17" s="4">
        <v>112</v>
      </c>
    </row>
    <row r="18" spans="1:8" x14ac:dyDescent="0.25">
      <c r="A18" s="4">
        <v>410005</v>
      </c>
      <c r="B18" t="s">
        <v>107</v>
      </c>
      <c r="C18" t="s">
        <v>123</v>
      </c>
      <c r="D18" t="s">
        <v>125</v>
      </c>
      <c r="E18" t="s">
        <v>126</v>
      </c>
      <c r="F18" s="4">
        <v>5</v>
      </c>
      <c r="G18" s="4">
        <v>1</v>
      </c>
      <c r="H18" s="4">
        <v>5</v>
      </c>
    </row>
    <row r="19" spans="1:8" x14ac:dyDescent="0.25">
      <c r="A19" s="4">
        <v>410005</v>
      </c>
      <c r="B19" t="s">
        <v>107</v>
      </c>
      <c r="C19" t="s">
        <v>98</v>
      </c>
      <c r="D19" t="s">
        <v>127</v>
      </c>
      <c r="E19" t="s">
        <v>128</v>
      </c>
      <c r="F19" s="4">
        <v>166</v>
      </c>
      <c r="G19" s="4">
        <v>3</v>
      </c>
      <c r="H19" s="4">
        <v>166</v>
      </c>
    </row>
    <row r="20" spans="1:8" x14ac:dyDescent="0.25">
      <c r="A20" s="4">
        <v>410008</v>
      </c>
      <c r="B20" t="s">
        <v>129</v>
      </c>
      <c r="C20" t="s">
        <v>130</v>
      </c>
      <c r="D20" t="s">
        <v>131</v>
      </c>
      <c r="E20" t="s">
        <v>132</v>
      </c>
      <c r="F20" s="4">
        <v>16</v>
      </c>
      <c r="G20" s="4">
        <v>2</v>
      </c>
      <c r="H20" s="4">
        <v>16</v>
      </c>
    </row>
    <row r="21" spans="1:8" x14ac:dyDescent="0.25">
      <c r="A21" s="4">
        <v>410010</v>
      </c>
      <c r="B21" t="s">
        <v>133</v>
      </c>
      <c r="C21" t="s">
        <v>134</v>
      </c>
      <c r="D21" t="s">
        <v>135</v>
      </c>
      <c r="E21" t="s">
        <v>104</v>
      </c>
      <c r="F21" s="4">
        <v>39</v>
      </c>
      <c r="G21" s="4">
        <v>1</v>
      </c>
      <c r="H21" s="4">
        <v>39</v>
      </c>
    </row>
    <row r="22" spans="1:8" x14ac:dyDescent="0.25">
      <c r="A22" s="4">
        <v>410010</v>
      </c>
      <c r="B22" t="s">
        <v>133</v>
      </c>
      <c r="C22" t="s">
        <v>136</v>
      </c>
      <c r="D22" t="s">
        <v>137</v>
      </c>
      <c r="E22" t="s">
        <v>138</v>
      </c>
      <c r="F22" s="4">
        <v>58</v>
      </c>
      <c r="G22" s="4">
        <v>2</v>
      </c>
      <c r="H22" s="4">
        <v>58</v>
      </c>
    </row>
    <row r="23" spans="1:8" x14ac:dyDescent="0.25">
      <c r="A23" s="4">
        <v>410010</v>
      </c>
      <c r="B23" t="s">
        <v>133</v>
      </c>
      <c r="C23" t="s">
        <v>98</v>
      </c>
      <c r="D23" t="s">
        <v>139</v>
      </c>
      <c r="E23" t="s">
        <v>138</v>
      </c>
      <c r="F23" s="4">
        <v>207</v>
      </c>
      <c r="G23" s="4">
        <v>3</v>
      </c>
      <c r="H23" s="4">
        <v>207</v>
      </c>
    </row>
    <row r="24" spans="1:8" x14ac:dyDescent="0.25">
      <c r="A24" s="4">
        <v>410011</v>
      </c>
      <c r="B24" t="s">
        <v>140</v>
      </c>
      <c r="C24" t="s">
        <v>141</v>
      </c>
      <c r="D24" t="s">
        <v>142</v>
      </c>
      <c r="E24" t="s">
        <v>143</v>
      </c>
      <c r="F24" s="4">
        <v>55</v>
      </c>
      <c r="G24" s="4">
        <v>4</v>
      </c>
      <c r="H24" s="4">
        <v>70</v>
      </c>
    </row>
    <row r="25" spans="1:8" x14ac:dyDescent="0.25">
      <c r="A25" s="4">
        <v>410011</v>
      </c>
      <c r="B25" t="s">
        <v>140</v>
      </c>
      <c r="C25" t="s">
        <v>144</v>
      </c>
      <c r="D25" t="s">
        <v>145</v>
      </c>
      <c r="E25" t="s">
        <v>122</v>
      </c>
      <c r="F25" s="4">
        <v>166</v>
      </c>
      <c r="G25" s="4">
        <v>3</v>
      </c>
      <c r="H25" s="4">
        <v>166</v>
      </c>
    </row>
    <row r="26" spans="1:8" x14ac:dyDescent="0.25">
      <c r="A26" s="4">
        <v>410013</v>
      </c>
      <c r="B26" t="s">
        <v>146</v>
      </c>
      <c r="C26" t="s">
        <v>98</v>
      </c>
      <c r="D26" t="s">
        <v>147</v>
      </c>
      <c r="E26" t="s">
        <v>110</v>
      </c>
      <c r="F26" s="4">
        <v>79</v>
      </c>
      <c r="G26" s="4">
        <v>2</v>
      </c>
      <c r="H26" s="4">
        <v>79</v>
      </c>
    </row>
    <row r="27" spans="1:8" x14ac:dyDescent="0.25">
      <c r="A27" s="4">
        <v>410013</v>
      </c>
      <c r="B27" t="s">
        <v>146</v>
      </c>
      <c r="C27" t="s">
        <v>148</v>
      </c>
      <c r="D27" t="s">
        <v>149</v>
      </c>
      <c r="E27" t="s">
        <v>104</v>
      </c>
      <c r="F27" s="4">
        <v>57</v>
      </c>
      <c r="G27" s="4">
        <v>2</v>
      </c>
      <c r="H27" s="4">
        <v>57</v>
      </c>
    </row>
    <row r="28" spans="1:8" x14ac:dyDescent="0.25">
      <c r="A28" s="4">
        <v>410013</v>
      </c>
      <c r="B28" t="s">
        <v>146</v>
      </c>
      <c r="C28" t="s">
        <v>150</v>
      </c>
      <c r="D28" t="s">
        <v>151</v>
      </c>
      <c r="E28" t="s">
        <v>96</v>
      </c>
      <c r="F28" s="4">
        <v>40</v>
      </c>
      <c r="G28" s="4">
        <v>2</v>
      </c>
      <c r="H28" s="4">
        <v>40</v>
      </c>
    </row>
    <row r="29" spans="1:8" x14ac:dyDescent="0.25">
      <c r="A29" s="4">
        <v>410016</v>
      </c>
      <c r="B29" t="s">
        <v>152</v>
      </c>
      <c r="C29" t="s">
        <v>153</v>
      </c>
      <c r="D29" t="s">
        <v>154</v>
      </c>
      <c r="E29" t="s">
        <v>155</v>
      </c>
      <c r="F29" s="4">
        <v>130</v>
      </c>
      <c r="G29" s="4">
        <v>4</v>
      </c>
      <c r="H29" s="4">
        <v>151</v>
      </c>
    </row>
    <row r="30" spans="1:8" x14ac:dyDescent="0.25">
      <c r="A30" s="4">
        <v>410016</v>
      </c>
      <c r="B30" t="s">
        <v>152</v>
      </c>
      <c r="C30" t="s">
        <v>156</v>
      </c>
      <c r="D30" t="s">
        <v>157</v>
      </c>
      <c r="E30" t="s">
        <v>158</v>
      </c>
      <c r="F30" s="4">
        <v>52</v>
      </c>
      <c r="G30" s="4">
        <v>2</v>
      </c>
      <c r="H30" s="4">
        <v>52</v>
      </c>
    </row>
    <row r="31" spans="1:8" x14ac:dyDescent="0.25">
      <c r="A31" s="4">
        <v>410016</v>
      </c>
      <c r="B31" t="s">
        <v>152</v>
      </c>
      <c r="C31" t="s">
        <v>123</v>
      </c>
      <c r="D31" t="s">
        <v>159</v>
      </c>
      <c r="E31" t="s">
        <v>160</v>
      </c>
      <c r="F31" s="4">
        <v>144</v>
      </c>
      <c r="G31" s="4">
        <v>4</v>
      </c>
      <c r="H31" s="4">
        <v>165</v>
      </c>
    </row>
    <row r="32" spans="1:8" x14ac:dyDescent="0.25">
      <c r="A32" s="4">
        <v>410016</v>
      </c>
      <c r="B32" t="s">
        <v>152</v>
      </c>
      <c r="C32" t="s">
        <v>123</v>
      </c>
      <c r="D32" t="s">
        <v>161</v>
      </c>
      <c r="E32" t="s">
        <v>162</v>
      </c>
      <c r="F32" s="4">
        <v>155</v>
      </c>
      <c r="G32" s="4">
        <v>4</v>
      </c>
      <c r="H32" s="4">
        <v>178</v>
      </c>
    </row>
    <row r="33" spans="1:8" x14ac:dyDescent="0.25">
      <c r="A33" s="4">
        <v>410016</v>
      </c>
      <c r="B33" t="s">
        <v>152</v>
      </c>
      <c r="C33" t="s">
        <v>98</v>
      </c>
      <c r="D33" t="s">
        <v>163</v>
      </c>
      <c r="E33" t="s">
        <v>164</v>
      </c>
      <c r="F33" s="4">
        <v>115</v>
      </c>
      <c r="G33" s="4">
        <v>2</v>
      </c>
      <c r="H33" s="4">
        <v>115</v>
      </c>
    </row>
    <row r="34" spans="1:8" x14ac:dyDescent="0.25">
      <c r="A34" s="4">
        <v>410018</v>
      </c>
      <c r="B34" t="s">
        <v>165</v>
      </c>
      <c r="C34" t="s">
        <v>166</v>
      </c>
      <c r="D34" t="s">
        <v>167</v>
      </c>
      <c r="E34" t="s">
        <v>168</v>
      </c>
      <c r="F34" s="4">
        <v>50</v>
      </c>
      <c r="G34" s="4">
        <v>2</v>
      </c>
      <c r="H34" s="4">
        <v>50</v>
      </c>
    </row>
    <row r="35" spans="1:8" x14ac:dyDescent="0.25">
      <c r="A35" s="4">
        <v>410018</v>
      </c>
      <c r="B35" t="s">
        <v>165</v>
      </c>
      <c r="C35" t="s">
        <v>169</v>
      </c>
      <c r="D35" t="s">
        <v>137</v>
      </c>
      <c r="E35" t="s">
        <v>104</v>
      </c>
      <c r="F35" s="4">
        <v>59</v>
      </c>
      <c r="G35" s="4">
        <v>2</v>
      </c>
      <c r="H35" s="4">
        <v>59</v>
      </c>
    </row>
    <row r="36" spans="1:8" x14ac:dyDescent="0.25">
      <c r="A36" s="4">
        <v>410018</v>
      </c>
      <c r="B36" t="s">
        <v>165</v>
      </c>
      <c r="C36" t="s">
        <v>120</v>
      </c>
      <c r="D36" t="s">
        <v>170</v>
      </c>
      <c r="E36" t="s">
        <v>171</v>
      </c>
      <c r="F36" s="4">
        <v>64</v>
      </c>
      <c r="G36" s="4">
        <v>3</v>
      </c>
      <c r="H36" s="4">
        <v>64</v>
      </c>
    </row>
    <row r="37" spans="1:8" x14ac:dyDescent="0.25">
      <c r="A37" s="4">
        <v>410018</v>
      </c>
      <c r="B37" t="s">
        <v>165</v>
      </c>
      <c r="C37" t="s">
        <v>172</v>
      </c>
      <c r="D37" t="s">
        <v>157</v>
      </c>
      <c r="E37" t="s">
        <v>173</v>
      </c>
      <c r="F37" s="4">
        <v>86</v>
      </c>
      <c r="G37" s="4">
        <v>3</v>
      </c>
      <c r="H37" s="4">
        <v>86</v>
      </c>
    </row>
    <row r="38" spans="1:8" x14ac:dyDescent="0.25">
      <c r="A38" s="4">
        <v>410018</v>
      </c>
      <c r="B38" t="s">
        <v>165</v>
      </c>
      <c r="C38" t="s">
        <v>174</v>
      </c>
      <c r="D38" t="s">
        <v>175</v>
      </c>
      <c r="E38" t="s">
        <v>176</v>
      </c>
      <c r="F38" s="4">
        <v>23</v>
      </c>
      <c r="G38" s="4">
        <v>3</v>
      </c>
      <c r="H38" s="4">
        <v>23</v>
      </c>
    </row>
    <row r="39" spans="1:8" x14ac:dyDescent="0.25">
      <c r="A39" s="4">
        <v>410018</v>
      </c>
      <c r="B39" t="s">
        <v>165</v>
      </c>
      <c r="C39" t="s">
        <v>174</v>
      </c>
      <c r="D39" t="s">
        <v>125</v>
      </c>
      <c r="E39" t="s">
        <v>176</v>
      </c>
      <c r="F39" s="4">
        <v>78</v>
      </c>
      <c r="G39" s="4">
        <v>3</v>
      </c>
      <c r="H39" s="4">
        <v>78</v>
      </c>
    </row>
    <row r="40" spans="1:8" x14ac:dyDescent="0.25">
      <c r="A40" s="4">
        <v>410018</v>
      </c>
      <c r="B40" t="s">
        <v>165</v>
      </c>
      <c r="C40" t="s">
        <v>177</v>
      </c>
      <c r="D40" t="s">
        <v>178</v>
      </c>
      <c r="E40" t="s">
        <v>179</v>
      </c>
      <c r="F40" s="4">
        <v>112</v>
      </c>
      <c r="G40" s="4">
        <v>4</v>
      </c>
      <c r="H40" s="4">
        <v>139</v>
      </c>
    </row>
    <row r="41" spans="1:8" x14ac:dyDescent="0.25">
      <c r="A41" s="4">
        <v>410018</v>
      </c>
      <c r="B41" t="s">
        <v>165</v>
      </c>
      <c r="C41" t="s">
        <v>180</v>
      </c>
      <c r="D41" t="s">
        <v>181</v>
      </c>
      <c r="E41" t="s">
        <v>182</v>
      </c>
      <c r="F41" s="4">
        <v>32</v>
      </c>
      <c r="G41" s="4">
        <v>2</v>
      </c>
      <c r="H41" s="4">
        <v>32</v>
      </c>
    </row>
    <row r="42" spans="1:8" x14ac:dyDescent="0.25">
      <c r="A42" s="4">
        <v>410018</v>
      </c>
      <c r="B42" t="s">
        <v>165</v>
      </c>
      <c r="C42" t="s">
        <v>183</v>
      </c>
      <c r="D42" t="s">
        <v>184</v>
      </c>
      <c r="E42" t="s">
        <v>185</v>
      </c>
      <c r="F42" s="4">
        <v>68</v>
      </c>
      <c r="G42" s="4">
        <v>3</v>
      </c>
      <c r="H42" s="4">
        <v>68</v>
      </c>
    </row>
    <row r="43" spans="1:8" x14ac:dyDescent="0.25">
      <c r="A43" s="4">
        <v>410020</v>
      </c>
      <c r="B43" t="s">
        <v>186</v>
      </c>
      <c r="C43" t="s">
        <v>187</v>
      </c>
      <c r="D43" t="s">
        <v>188</v>
      </c>
      <c r="E43" t="s">
        <v>182</v>
      </c>
      <c r="F43" s="4">
        <v>141</v>
      </c>
      <c r="G43" s="4">
        <v>3</v>
      </c>
      <c r="H43" s="4">
        <v>141</v>
      </c>
    </row>
    <row r="44" spans="1:8" x14ac:dyDescent="0.25">
      <c r="A44" s="4">
        <v>410020</v>
      </c>
      <c r="B44" t="s">
        <v>186</v>
      </c>
      <c r="C44" t="s">
        <v>189</v>
      </c>
      <c r="D44" t="s">
        <v>137</v>
      </c>
      <c r="E44" t="s">
        <v>190</v>
      </c>
      <c r="F44" s="4">
        <v>176</v>
      </c>
      <c r="G44" s="4">
        <v>3</v>
      </c>
      <c r="H44" s="4">
        <v>176</v>
      </c>
    </row>
    <row r="45" spans="1:8" x14ac:dyDescent="0.25">
      <c r="A45" s="4">
        <v>410020</v>
      </c>
      <c r="B45" t="s">
        <v>186</v>
      </c>
      <c r="C45" t="s">
        <v>191</v>
      </c>
      <c r="D45" t="s">
        <v>137</v>
      </c>
      <c r="E45" t="s">
        <v>192</v>
      </c>
      <c r="F45" s="4">
        <v>227</v>
      </c>
      <c r="G45" s="4">
        <v>3</v>
      </c>
      <c r="H45" s="4">
        <v>227</v>
      </c>
    </row>
  </sheetData>
  <pageMargins left="0.70866141732283472" right="0.11811023622047245" top="0.74803149606299213" bottom="0.74803149606299213" header="0.31496062992125984" footer="0.31496062992125984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H7" sqref="H7"/>
    </sheetView>
  </sheetViews>
  <sheetFormatPr defaultRowHeight="15" x14ac:dyDescent="0.25"/>
  <cols>
    <col min="1" max="1" width="21.28515625" customWidth="1"/>
    <col min="2" max="2" width="21.5703125" customWidth="1"/>
    <col min="4" max="5" width="10.7109375" customWidth="1"/>
  </cols>
  <sheetData>
    <row r="1" spans="1:13" x14ac:dyDescent="0.25">
      <c r="A1" s="3" t="s">
        <v>74</v>
      </c>
    </row>
    <row r="3" spans="1:13" s="14" customFormat="1" ht="60" x14ac:dyDescent="0.25">
      <c r="A3" s="13" t="s">
        <v>0</v>
      </c>
      <c r="B3" s="13" t="s">
        <v>27</v>
      </c>
      <c r="C3" s="13" t="s">
        <v>2</v>
      </c>
      <c r="D3" s="13" t="s">
        <v>33</v>
      </c>
      <c r="E3" s="13" t="s">
        <v>34</v>
      </c>
      <c r="F3" s="13" t="s">
        <v>35</v>
      </c>
      <c r="G3" s="13" t="s">
        <v>36</v>
      </c>
      <c r="H3" s="13" t="s">
        <v>37</v>
      </c>
      <c r="I3" s="13" t="s">
        <v>38</v>
      </c>
      <c r="J3" s="13" t="s">
        <v>75</v>
      </c>
      <c r="K3" s="13" t="s">
        <v>76</v>
      </c>
      <c r="L3" s="13" t="s">
        <v>77</v>
      </c>
      <c r="M3" s="13" t="s">
        <v>41</v>
      </c>
    </row>
    <row r="4" spans="1:13" x14ac:dyDescent="0.25">
      <c r="A4" t="s">
        <v>11</v>
      </c>
      <c r="B4" t="s">
        <v>30</v>
      </c>
      <c r="C4">
        <v>41</v>
      </c>
      <c r="D4">
        <v>13</v>
      </c>
      <c r="E4">
        <v>31.71</v>
      </c>
      <c r="F4">
        <v>23</v>
      </c>
      <c r="G4">
        <v>56.1</v>
      </c>
      <c r="H4">
        <v>4</v>
      </c>
      <c r="I4">
        <v>9.76</v>
      </c>
      <c r="J4">
        <v>1</v>
      </c>
      <c r="K4">
        <v>2.44</v>
      </c>
      <c r="L4">
        <v>0</v>
      </c>
      <c r="M4" s="4">
        <v>36.369999999999997</v>
      </c>
    </row>
    <row r="5" spans="1:13" x14ac:dyDescent="0.25">
      <c r="A5" t="s">
        <v>78</v>
      </c>
      <c r="B5" t="s">
        <v>30</v>
      </c>
      <c r="C5">
        <v>2</v>
      </c>
      <c r="D5">
        <v>0</v>
      </c>
      <c r="E5">
        <v>0</v>
      </c>
      <c r="F5">
        <v>1</v>
      </c>
      <c r="G5">
        <v>50</v>
      </c>
      <c r="H5">
        <v>1</v>
      </c>
      <c r="I5">
        <v>50</v>
      </c>
      <c r="J5">
        <v>0</v>
      </c>
      <c r="K5">
        <v>0</v>
      </c>
      <c r="L5">
        <v>0</v>
      </c>
      <c r="M5" s="4">
        <v>44.5</v>
      </c>
    </row>
    <row r="6" spans="1:13" x14ac:dyDescent="0.25">
      <c r="A6" t="s">
        <v>43</v>
      </c>
      <c r="B6" t="s">
        <v>30</v>
      </c>
      <c r="C6">
        <v>1</v>
      </c>
      <c r="D6">
        <v>0</v>
      </c>
      <c r="E6">
        <v>0</v>
      </c>
      <c r="F6">
        <v>1</v>
      </c>
      <c r="G6">
        <v>100</v>
      </c>
      <c r="H6">
        <v>0</v>
      </c>
      <c r="I6">
        <v>0</v>
      </c>
      <c r="J6">
        <v>0</v>
      </c>
      <c r="K6">
        <v>0</v>
      </c>
      <c r="L6">
        <v>0</v>
      </c>
      <c r="M6" s="4">
        <v>38</v>
      </c>
    </row>
    <row r="7" spans="1:13" x14ac:dyDescent="0.25">
      <c r="A7" t="s">
        <v>44</v>
      </c>
      <c r="B7" t="s">
        <v>30</v>
      </c>
      <c r="C7">
        <v>11</v>
      </c>
      <c r="D7">
        <v>0</v>
      </c>
      <c r="E7">
        <v>0</v>
      </c>
      <c r="F7">
        <v>3</v>
      </c>
      <c r="G7">
        <v>27.27</v>
      </c>
      <c r="H7">
        <v>7</v>
      </c>
      <c r="I7">
        <v>63.64</v>
      </c>
      <c r="J7">
        <v>1</v>
      </c>
      <c r="K7">
        <v>9.09</v>
      </c>
      <c r="L7">
        <v>0</v>
      </c>
      <c r="M7" s="4">
        <v>67.180000000000007</v>
      </c>
    </row>
    <row r="8" spans="1:13" x14ac:dyDescent="0.25">
      <c r="A8" s="11" t="s">
        <v>45</v>
      </c>
      <c r="B8" s="11" t="s">
        <v>30</v>
      </c>
      <c r="C8" s="11">
        <v>20</v>
      </c>
      <c r="D8" s="11">
        <v>14</v>
      </c>
      <c r="E8" s="11">
        <v>70</v>
      </c>
      <c r="F8" s="11">
        <v>5</v>
      </c>
      <c r="G8" s="11">
        <v>25</v>
      </c>
      <c r="H8" s="11">
        <v>1</v>
      </c>
      <c r="I8" s="11">
        <v>5</v>
      </c>
      <c r="J8" s="11">
        <v>0</v>
      </c>
      <c r="K8" s="11">
        <v>0</v>
      </c>
      <c r="L8" s="11">
        <v>0</v>
      </c>
      <c r="M8" s="12">
        <v>29.3</v>
      </c>
    </row>
    <row r="9" spans="1:13" x14ac:dyDescent="0.25">
      <c r="A9" s="11" t="s">
        <v>46</v>
      </c>
      <c r="B9" s="11" t="s">
        <v>30</v>
      </c>
      <c r="C9" s="11">
        <v>4</v>
      </c>
      <c r="D9" s="11">
        <v>2</v>
      </c>
      <c r="E9" s="11">
        <v>50</v>
      </c>
      <c r="F9" s="11">
        <v>2</v>
      </c>
      <c r="G9" s="11">
        <v>50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2">
        <v>30.25</v>
      </c>
    </row>
    <row r="10" spans="1:13" x14ac:dyDescent="0.25">
      <c r="A10" t="s">
        <v>47</v>
      </c>
      <c r="B10" t="s">
        <v>30</v>
      </c>
      <c r="C10">
        <v>28</v>
      </c>
      <c r="D10">
        <v>23</v>
      </c>
      <c r="E10">
        <v>82.14</v>
      </c>
      <c r="F10">
        <v>5</v>
      </c>
      <c r="G10">
        <v>17.86</v>
      </c>
      <c r="H10">
        <v>0</v>
      </c>
      <c r="I10">
        <v>0</v>
      </c>
      <c r="J10">
        <v>0</v>
      </c>
      <c r="K10">
        <v>0</v>
      </c>
      <c r="L10">
        <v>0</v>
      </c>
      <c r="M10" s="4">
        <v>24.5</v>
      </c>
    </row>
    <row r="11" spans="1:13" x14ac:dyDescent="0.25">
      <c r="A11" t="s">
        <v>48</v>
      </c>
      <c r="B11" t="s">
        <v>30</v>
      </c>
      <c r="C11">
        <v>1</v>
      </c>
      <c r="D11">
        <v>1</v>
      </c>
      <c r="E11">
        <v>100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4">
        <v>22</v>
      </c>
    </row>
  </sheetData>
  <pageMargins left="0.51181102362204722" right="0.11811023622047245" top="0.74803149606299213" bottom="0.74803149606299213" header="0.31496062992125984" footer="0.31496062992125984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G18" sqref="G18"/>
    </sheetView>
  </sheetViews>
  <sheetFormatPr defaultRowHeight="15" x14ac:dyDescent="0.25"/>
  <cols>
    <col min="2" max="2" width="17.7109375" customWidth="1"/>
    <col min="4" max="4" width="17.7109375" customWidth="1"/>
  </cols>
  <sheetData>
    <row r="1" spans="1:17" x14ac:dyDescent="0.25">
      <c r="A1" s="9" t="s">
        <v>73</v>
      </c>
    </row>
    <row r="3" spans="1:17" ht="45" x14ac:dyDescent="0.25">
      <c r="A3" s="1" t="s">
        <v>51</v>
      </c>
      <c r="B3" s="1" t="s">
        <v>0</v>
      </c>
      <c r="C3" s="1" t="s">
        <v>52</v>
      </c>
      <c r="D3" s="1" t="s">
        <v>53</v>
      </c>
      <c r="E3" s="1" t="s">
        <v>2</v>
      </c>
      <c r="F3" s="1" t="s">
        <v>54</v>
      </c>
      <c r="G3" s="10" t="s">
        <v>55</v>
      </c>
      <c r="H3" s="1" t="s">
        <v>56</v>
      </c>
      <c r="I3" s="1" t="s">
        <v>57</v>
      </c>
      <c r="J3" s="1" t="s">
        <v>58</v>
      </c>
      <c r="K3" s="1" t="s">
        <v>59</v>
      </c>
      <c r="L3" s="1" t="s">
        <v>60</v>
      </c>
      <c r="M3" s="1" t="s">
        <v>61</v>
      </c>
      <c r="N3" s="1" t="s">
        <v>62</v>
      </c>
      <c r="O3" s="1" t="s">
        <v>63</v>
      </c>
      <c r="P3" s="1">
        <v>100</v>
      </c>
      <c r="Q3" s="1" t="s">
        <v>41</v>
      </c>
    </row>
    <row r="4" spans="1:17" x14ac:dyDescent="0.25">
      <c r="A4" s="7">
        <v>1</v>
      </c>
      <c r="B4" s="8" t="s">
        <v>64</v>
      </c>
      <c r="C4" s="7">
        <v>41</v>
      </c>
      <c r="D4" s="8" t="s">
        <v>65</v>
      </c>
      <c r="E4" s="7">
        <v>41</v>
      </c>
      <c r="F4" s="8">
        <v>3</v>
      </c>
      <c r="G4" s="8">
        <v>7</v>
      </c>
      <c r="H4" s="8">
        <v>4</v>
      </c>
      <c r="I4" s="8">
        <v>9</v>
      </c>
      <c r="J4" s="8">
        <v>9</v>
      </c>
      <c r="K4" s="8">
        <v>4</v>
      </c>
      <c r="L4" s="8">
        <v>3</v>
      </c>
      <c r="M4" s="8">
        <v>1</v>
      </c>
      <c r="N4" s="8">
        <v>1</v>
      </c>
      <c r="O4" s="8">
        <v>0</v>
      </c>
      <c r="P4" s="8">
        <v>0</v>
      </c>
      <c r="Q4" s="8">
        <v>36.369999999999997</v>
      </c>
    </row>
    <row r="5" spans="1:17" x14ac:dyDescent="0.25">
      <c r="A5" s="7">
        <v>2</v>
      </c>
      <c r="B5" s="8" t="s">
        <v>72</v>
      </c>
      <c r="C5" s="7">
        <v>41</v>
      </c>
      <c r="D5" s="8" t="s">
        <v>65</v>
      </c>
      <c r="E5" s="7">
        <v>2</v>
      </c>
      <c r="F5" s="8">
        <v>0</v>
      </c>
      <c r="G5" s="8">
        <v>0</v>
      </c>
      <c r="H5" s="8">
        <v>1</v>
      </c>
      <c r="I5" s="8">
        <v>0</v>
      </c>
      <c r="J5" s="8">
        <v>0</v>
      </c>
      <c r="K5" s="8">
        <v>0</v>
      </c>
      <c r="L5" s="8">
        <v>1</v>
      </c>
      <c r="M5" s="8">
        <v>0</v>
      </c>
      <c r="N5" s="8">
        <v>0</v>
      </c>
      <c r="O5" s="8">
        <v>0</v>
      </c>
      <c r="P5" s="8">
        <v>0</v>
      </c>
      <c r="Q5" s="8">
        <v>44.5</v>
      </c>
    </row>
    <row r="6" spans="1:17" x14ac:dyDescent="0.25">
      <c r="A6" s="7">
        <v>3</v>
      </c>
      <c r="B6" s="8" t="s">
        <v>66</v>
      </c>
      <c r="C6" s="7">
        <v>41</v>
      </c>
      <c r="D6" s="8" t="s">
        <v>65</v>
      </c>
      <c r="E6" s="7">
        <v>1</v>
      </c>
      <c r="F6" s="8">
        <v>0</v>
      </c>
      <c r="G6" s="8">
        <v>0</v>
      </c>
      <c r="H6" s="8">
        <v>0</v>
      </c>
      <c r="I6" s="8">
        <v>1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38</v>
      </c>
    </row>
    <row r="7" spans="1:17" x14ac:dyDescent="0.25">
      <c r="A7" s="7">
        <v>4</v>
      </c>
      <c r="B7" s="8" t="s">
        <v>67</v>
      </c>
      <c r="C7" s="7">
        <v>41</v>
      </c>
      <c r="D7" s="8" t="s">
        <v>65</v>
      </c>
      <c r="E7" s="7">
        <v>11</v>
      </c>
      <c r="F7" s="8">
        <v>0</v>
      </c>
      <c r="G7" s="8">
        <v>0</v>
      </c>
      <c r="H7" s="8">
        <v>0</v>
      </c>
      <c r="I7" s="8">
        <v>0</v>
      </c>
      <c r="J7" s="8">
        <v>1</v>
      </c>
      <c r="K7" s="8">
        <v>1</v>
      </c>
      <c r="L7" s="8">
        <v>5</v>
      </c>
      <c r="M7" s="8">
        <v>3</v>
      </c>
      <c r="N7" s="8">
        <v>1</v>
      </c>
      <c r="O7" s="8">
        <v>0</v>
      </c>
      <c r="P7" s="8">
        <v>0</v>
      </c>
      <c r="Q7" s="8">
        <v>67.180000000000007</v>
      </c>
    </row>
    <row r="8" spans="1:17" x14ac:dyDescent="0.25">
      <c r="A8" s="7">
        <v>6</v>
      </c>
      <c r="B8" s="8" t="s">
        <v>68</v>
      </c>
      <c r="C8" s="7">
        <v>41</v>
      </c>
      <c r="D8" s="8" t="s">
        <v>65</v>
      </c>
      <c r="E8" s="7">
        <v>20</v>
      </c>
      <c r="F8" s="8">
        <v>2</v>
      </c>
      <c r="G8" s="8">
        <v>7</v>
      </c>
      <c r="H8" s="8">
        <v>3</v>
      </c>
      <c r="I8" s="8">
        <v>2</v>
      </c>
      <c r="J8" s="8">
        <v>1</v>
      </c>
      <c r="K8" s="8">
        <v>3</v>
      </c>
      <c r="L8" s="8">
        <v>2</v>
      </c>
      <c r="M8" s="8">
        <v>0</v>
      </c>
      <c r="N8" s="8">
        <v>0</v>
      </c>
      <c r="O8" s="8">
        <v>0</v>
      </c>
      <c r="P8" s="8">
        <v>0</v>
      </c>
      <c r="Q8" s="8">
        <v>29.3</v>
      </c>
    </row>
    <row r="9" spans="1:17" x14ac:dyDescent="0.25">
      <c r="A9" s="7">
        <v>7</v>
      </c>
      <c r="B9" s="8" t="s">
        <v>69</v>
      </c>
      <c r="C9" s="7">
        <v>41</v>
      </c>
      <c r="D9" s="8" t="s">
        <v>65</v>
      </c>
      <c r="E9" s="7">
        <v>4</v>
      </c>
      <c r="F9" s="8">
        <v>0</v>
      </c>
      <c r="G9" s="8">
        <v>1</v>
      </c>
      <c r="H9" s="8">
        <v>1</v>
      </c>
      <c r="I9" s="8">
        <v>1</v>
      </c>
      <c r="J9" s="8">
        <v>1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30.25</v>
      </c>
    </row>
    <row r="10" spans="1:17" x14ac:dyDescent="0.25">
      <c r="A10" s="7">
        <v>12</v>
      </c>
      <c r="B10" s="8" t="s">
        <v>70</v>
      </c>
      <c r="C10" s="7">
        <v>41</v>
      </c>
      <c r="D10" s="8" t="s">
        <v>65</v>
      </c>
      <c r="E10" s="7">
        <v>28</v>
      </c>
      <c r="F10" s="8">
        <v>3</v>
      </c>
      <c r="G10" s="8">
        <v>8</v>
      </c>
      <c r="H10" s="8">
        <v>9</v>
      </c>
      <c r="I10" s="8">
        <v>3</v>
      </c>
      <c r="J10" s="8">
        <v>4</v>
      </c>
      <c r="K10" s="8">
        <v>1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24.5</v>
      </c>
    </row>
    <row r="11" spans="1:17" x14ac:dyDescent="0.25">
      <c r="A11" s="7">
        <v>18</v>
      </c>
      <c r="B11" s="8" t="s">
        <v>71</v>
      </c>
      <c r="C11" s="7">
        <v>41</v>
      </c>
      <c r="D11" s="8" t="s">
        <v>65</v>
      </c>
      <c r="E11" s="7">
        <v>1</v>
      </c>
      <c r="F11" s="8">
        <v>0</v>
      </c>
      <c r="G11" s="8">
        <v>0</v>
      </c>
      <c r="H11" s="8">
        <v>1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22</v>
      </c>
    </row>
  </sheetData>
  <pageMargins left="0.31496062992125984" right="0.11811023622047245" top="0.74803149606299213" bottom="0.74803149606299213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J22" sqref="J22"/>
    </sheetView>
  </sheetViews>
  <sheetFormatPr defaultRowHeight="15" x14ac:dyDescent="0.25"/>
  <cols>
    <col min="1" max="1" width="26.28515625" customWidth="1"/>
    <col min="2" max="2" width="37.140625" customWidth="1"/>
    <col min="3" max="11" width="11.5703125" customWidth="1"/>
    <col min="12" max="12" width="10.42578125" customWidth="1"/>
  </cols>
  <sheetData>
    <row r="1" spans="1:12" x14ac:dyDescent="0.25">
      <c r="A1" s="173" t="s">
        <v>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3" spans="1:12" ht="60" x14ac:dyDescent="0.25">
      <c r="A3" s="1" t="s">
        <v>0</v>
      </c>
      <c r="B3" s="1" t="s">
        <v>32</v>
      </c>
      <c r="C3" s="1" t="s">
        <v>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</row>
    <row r="4" spans="1:12" x14ac:dyDescent="0.25">
      <c r="A4" s="8" t="s">
        <v>11</v>
      </c>
      <c r="B4" s="8" t="s">
        <v>12</v>
      </c>
      <c r="C4" s="8">
        <v>3</v>
      </c>
      <c r="D4" s="8">
        <v>0</v>
      </c>
      <c r="E4" s="8">
        <v>0</v>
      </c>
      <c r="F4" s="8">
        <v>3</v>
      </c>
      <c r="G4" s="8">
        <v>100</v>
      </c>
      <c r="H4" s="8">
        <v>0</v>
      </c>
      <c r="I4" s="8">
        <v>0</v>
      </c>
      <c r="J4" s="8">
        <v>0</v>
      </c>
      <c r="K4" s="8">
        <v>0</v>
      </c>
      <c r="L4" s="7">
        <v>49</v>
      </c>
    </row>
    <row r="5" spans="1:12" x14ac:dyDescent="0.25">
      <c r="A5" s="8" t="s">
        <v>11</v>
      </c>
      <c r="B5" s="8" t="s">
        <v>13</v>
      </c>
      <c r="C5" s="8">
        <v>4</v>
      </c>
      <c r="D5" s="8">
        <v>2</v>
      </c>
      <c r="E5" s="8">
        <v>50</v>
      </c>
      <c r="F5" s="8">
        <v>2</v>
      </c>
      <c r="G5" s="8">
        <v>50</v>
      </c>
      <c r="H5" s="8">
        <v>0</v>
      </c>
      <c r="I5" s="8">
        <v>0</v>
      </c>
      <c r="J5" s="8">
        <v>0</v>
      </c>
      <c r="K5" s="8">
        <v>0</v>
      </c>
      <c r="L5" s="7">
        <v>30.5</v>
      </c>
    </row>
    <row r="6" spans="1:12" x14ac:dyDescent="0.25">
      <c r="A6" s="8" t="s">
        <v>11</v>
      </c>
      <c r="B6" s="8" t="s">
        <v>14</v>
      </c>
      <c r="C6" s="8">
        <v>9</v>
      </c>
      <c r="D6" s="8">
        <v>5</v>
      </c>
      <c r="E6" s="8">
        <v>55.56</v>
      </c>
      <c r="F6" s="8">
        <v>3</v>
      </c>
      <c r="G6" s="8">
        <v>33.33</v>
      </c>
      <c r="H6" s="8">
        <v>1</v>
      </c>
      <c r="I6" s="8">
        <v>11.11</v>
      </c>
      <c r="J6" s="8">
        <v>0</v>
      </c>
      <c r="K6" s="8">
        <v>0</v>
      </c>
      <c r="L6" s="7">
        <v>27.89</v>
      </c>
    </row>
    <row r="7" spans="1:12" x14ac:dyDescent="0.25">
      <c r="A7" s="8" t="s">
        <v>11</v>
      </c>
      <c r="B7" s="8" t="s">
        <v>15</v>
      </c>
      <c r="C7" s="8">
        <v>1</v>
      </c>
      <c r="D7" s="8">
        <v>1</v>
      </c>
      <c r="E7" s="8">
        <v>100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7">
        <v>8</v>
      </c>
    </row>
    <row r="8" spans="1:12" x14ac:dyDescent="0.25">
      <c r="A8" s="8" t="s">
        <v>11</v>
      </c>
      <c r="B8" s="8" t="s">
        <v>16</v>
      </c>
      <c r="C8" s="8">
        <v>2</v>
      </c>
      <c r="D8" s="8">
        <v>0</v>
      </c>
      <c r="E8" s="8">
        <v>0</v>
      </c>
      <c r="F8" s="8">
        <v>1</v>
      </c>
      <c r="G8" s="8">
        <v>50</v>
      </c>
      <c r="H8" s="8">
        <v>1</v>
      </c>
      <c r="I8" s="8">
        <v>50</v>
      </c>
      <c r="J8" s="8">
        <v>0</v>
      </c>
      <c r="K8" s="8">
        <v>0</v>
      </c>
      <c r="L8" s="7">
        <v>56.5</v>
      </c>
    </row>
    <row r="9" spans="1:12" x14ac:dyDescent="0.25">
      <c r="A9" s="8" t="s">
        <v>11</v>
      </c>
      <c r="B9" s="8" t="s">
        <v>17</v>
      </c>
      <c r="C9" s="8">
        <v>2</v>
      </c>
      <c r="D9" s="8">
        <v>1</v>
      </c>
      <c r="E9" s="8">
        <v>50</v>
      </c>
      <c r="F9" s="8">
        <v>1</v>
      </c>
      <c r="G9" s="8">
        <v>50</v>
      </c>
      <c r="H9" s="8">
        <v>0</v>
      </c>
      <c r="I9" s="8">
        <v>0</v>
      </c>
      <c r="J9" s="8">
        <v>0</v>
      </c>
      <c r="K9" s="8">
        <v>0</v>
      </c>
      <c r="L9" s="7">
        <v>35.5</v>
      </c>
    </row>
    <row r="10" spans="1:12" x14ac:dyDescent="0.25">
      <c r="A10" s="8" t="s">
        <v>11</v>
      </c>
      <c r="B10" s="8" t="s">
        <v>19</v>
      </c>
      <c r="C10" s="8">
        <v>3</v>
      </c>
      <c r="D10" s="8">
        <v>1</v>
      </c>
      <c r="E10" s="8">
        <v>33.33</v>
      </c>
      <c r="F10" s="8">
        <v>2</v>
      </c>
      <c r="G10" s="8">
        <v>66.67</v>
      </c>
      <c r="H10" s="8">
        <v>0</v>
      </c>
      <c r="I10" s="8">
        <v>0</v>
      </c>
      <c r="J10" s="8">
        <v>0</v>
      </c>
      <c r="K10" s="8">
        <v>0</v>
      </c>
      <c r="L10" s="7">
        <v>30</v>
      </c>
    </row>
    <row r="11" spans="1:12" x14ac:dyDescent="0.25">
      <c r="A11" s="8" t="s">
        <v>11</v>
      </c>
      <c r="B11" s="8" t="s">
        <v>21</v>
      </c>
      <c r="C11" s="8">
        <v>5</v>
      </c>
      <c r="D11" s="8">
        <v>0</v>
      </c>
      <c r="E11" s="8">
        <v>0</v>
      </c>
      <c r="F11" s="8">
        <v>4</v>
      </c>
      <c r="G11" s="8">
        <v>80</v>
      </c>
      <c r="H11" s="8">
        <v>1</v>
      </c>
      <c r="I11" s="8">
        <v>20</v>
      </c>
      <c r="J11" s="8">
        <v>0</v>
      </c>
      <c r="K11" s="8">
        <v>0</v>
      </c>
      <c r="L11" s="7">
        <v>45</v>
      </c>
    </row>
    <row r="12" spans="1:12" x14ac:dyDescent="0.25">
      <c r="A12" s="8" t="s">
        <v>11</v>
      </c>
      <c r="B12" s="8" t="s">
        <v>23</v>
      </c>
      <c r="C12" s="8">
        <v>9</v>
      </c>
      <c r="D12" s="8">
        <v>3</v>
      </c>
      <c r="E12" s="8">
        <v>33.33</v>
      </c>
      <c r="F12" s="8">
        <v>6</v>
      </c>
      <c r="G12" s="8">
        <v>66.67</v>
      </c>
      <c r="H12" s="8">
        <v>0</v>
      </c>
      <c r="I12" s="8">
        <v>0</v>
      </c>
      <c r="J12" s="8">
        <v>0</v>
      </c>
      <c r="K12" s="8">
        <v>0</v>
      </c>
      <c r="L12" s="7">
        <v>29.22</v>
      </c>
    </row>
    <row r="13" spans="1:12" x14ac:dyDescent="0.25">
      <c r="A13" s="8" t="s">
        <v>11</v>
      </c>
      <c r="B13" s="8" t="s">
        <v>24</v>
      </c>
      <c r="C13" s="8">
        <v>3</v>
      </c>
      <c r="D13" s="8">
        <v>0</v>
      </c>
      <c r="E13" s="8">
        <v>0</v>
      </c>
      <c r="F13" s="8">
        <v>1</v>
      </c>
      <c r="G13" s="8">
        <v>33.33</v>
      </c>
      <c r="H13" s="8">
        <v>1</v>
      </c>
      <c r="I13" s="8">
        <v>33.33</v>
      </c>
      <c r="J13" s="8">
        <v>1</v>
      </c>
      <c r="K13" s="8">
        <v>33.33</v>
      </c>
      <c r="L13" s="7">
        <v>67</v>
      </c>
    </row>
    <row r="14" spans="1:12" x14ac:dyDescent="0.25">
      <c r="A14" s="8" t="s">
        <v>42</v>
      </c>
      <c r="B14" s="8" t="s">
        <v>12</v>
      </c>
      <c r="C14" s="8">
        <v>1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100</v>
      </c>
      <c r="J14" s="8">
        <v>0</v>
      </c>
      <c r="K14" s="8">
        <v>0</v>
      </c>
      <c r="L14" s="7">
        <v>62</v>
      </c>
    </row>
    <row r="15" spans="1:12" x14ac:dyDescent="0.25">
      <c r="A15" s="8" t="s">
        <v>42</v>
      </c>
      <c r="B15" s="8" t="s">
        <v>23</v>
      </c>
      <c r="C15" s="8">
        <v>1</v>
      </c>
      <c r="D15" s="8">
        <v>0</v>
      </c>
      <c r="E15" s="8">
        <v>0</v>
      </c>
      <c r="F15" s="8">
        <v>1</v>
      </c>
      <c r="G15" s="8">
        <v>100</v>
      </c>
      <c r="H15" s="8">
        <v>0</v>
      </c>
      <c r="I15" s="8">
        <v>0</v>
      </c>
      <c r="J15" s="8">
        <v>0</v>
      </c>
      <c r="K15" s="8">
        <v>0</v>
      </c>
      <c r="L15" s="7">
        <v>27</v>
      </c>
    </row>
    <row r="16" spans="1:12" x14ac:dyDescent="0.25">
      <c r="A16" s="8" t="s">
        <v>43</v>
      </c>
      <c r="B16" s="8" t="s">
        <v>23</v>
      </c>
      <c r="C16" s="8">
        <v>1</v>
      </c>
      <c r="D16" s="8">
        <v>0</v>
      </c>
      <c r="E16" s="8">
        <v>0</v>
      </c>
      <c r="F16" s="8">
        <v>1</v>
      </c>
      <c r="G16" s="8">
        <v>100</v>
      </c>
      <c r="H16" s="8">
        <v>0</v>
      </c>
      <c r="I16" s="8">
        <v>0</v>
      </c>
      <c r="J16" s="8">
        <v>0</v>
      </c>
      <c r="K16" s="8">
        <v>0</v>
      </c>
      <c r="L16" s="7">
        <v>38</v>
      </c>
    </row>
    <row r="17" spans="1:12" x14ac:dyDescent="0.25">
      <c r="A17" s="8" t="s">
        <v>44</v>
      </c>
      <c r="B17" s="8" t="s">
        <v>14</v>
      </c>
      <c r="C17" s="8">
        <v>3</v>
      </c>
      <c r="D17" s="8">
        <v>0</v>
      </c>
      <c r="E17" s="8">
        <v>0</v>
      </c>
      <c r="F17" s="8">
        <v>1</v>
      </c>
      <c r="G17" s="8">
        <v>33.33</v>
      </c>
      <c r="H17" s="8">
        <v>2</v>
      </c>
      <c r="I17" s="8">
        <v>66.67</v>
      </c>
      <c r="J17" s="8">
        <v>0</v>
      </c>
      <c r="K17" s="8">
        <v>0</v>
      </c>
      <c r="L17" s="7">
        <v>66</v>
      </c>
    </row>
    <row r="18" spans="1:12" x14ac:dyDescent="0.25">
      <c r="A18" s="8" t="s">
        <v>44</v>
      </c>
      <c r="B18" s="8" t="s">
        <v>16</v>
      </c>
      <c r="C18" s="8">
        <v>1</v>
      </c>
      <c r="D18" s="8">
        <v>0</v>
      </c>
      <c r="E18" s="8">
        <v>0</v>
      </c>
      <c r="F18" s="8">
        <v>0</v>
      </c>
      <c r="G18" s="8">
        <v>0</v>
      </c>
      <c r="H18" s="8">
        <v>1</v>
      </c>
      <c r="I18" s="8">
        <v>100</v>
      </c>
      <c r="J18" s="8">
        <v>0</v>
      </c>
      <c r="K18" s="8">
        <v>0</v>
      </c>
      <c r="L18" s="7">
        <v>74</v>
      </c>
    </row>
    <row r="19" spans="1:12" x14ac:dyDescent="0.25">
      <c r="A19" s="8" t="s">
        <v>44</v>
      </c>
      <c r="B19" s="8" t="s">
        <v>17</v>
      </c>
      <c r="C19" s="8">
        <v>1</v>
      </c>
      <c r="D19" s="8">
        <v>0</v>
      </c>
      <c r="E19" s="8">
        <v>0</v>
      </c>
      <c r="F19" s="8">
        <v>0</v>
      </c>
      <c r="G19" s="8">
        <v>0</v>
      </c>
      <c r="H19" s="8">
        <v>1</v>
      </c>
      <c r="I19" s="8">
        <v>100</v>
      </c>
      <c r="J19" s="8">
        <v>0</v>
      </c>
      <c r="K19" s="8">
        <v>0</v>
      </c>
      <c r="L19" s="7">
        <v>78</v>
      </c>
    </row>
    <row r="20" spans="1:12" x14ac:dyDescent="0.25">
      <c r="A20" s="8" t="s">
        <v>44</v>
      </c>
      <c r="B20" s="8" t="s">
        <v>21</v>
      </c>
      <c r="C20" s="8">
        <v>3</v>
      </c>
      <c r="D20" s="8">
        <v>0</v>
      </c>
      <c r="E20" s="8">
        <v>0</v>
      </c>
      <c r="F20" s="8">
        <v>0</v>
      </c>
      <c r="G20" s="8">
        <v>0</v>
      </c>
      <c r="H20" s="8">
        <v>3</v>
      </c>
      <c r="I20" s="8">
        <v>100</v>
      </c>
      <c r="J20" s="8">
        <v>0</v>
      </c>
      <c r="K20" s="8">
        <v>0</v>
      </c>
      <c r="L20" s="7">
        <v>66.33</v>
      </c>
    </row>
    <row r="21" spans="1:12" x14ac:dyDescent="0.25">
      <c r="A21" s="8" t="s">
        <v>44</v>
      </c>
      <c r="B21" s="8" t="s">
        <v>23</v>
      </c>
      <c r="C21" s="8">
        <v>1</v>
      </c>
      <c r="D21" s="8">
        <v>0</v>
      </c>
      <c r="E21" s="8">
        <v>0</v>
      </c>
      <c r="F21" s="8">
        <v>1</v>
      </c>
      <c r="G21" s="8">
        <v>100</v>
      </c>
      <c r="H21" s="8">
        <v>0</v>
      </c>
      <c r="I21" s="8">
        <v>0</v>
      </c>
      <c r="J21" s="8">
        <v>0</v>
      </c>
      <c r="K21" s="8">
        <v>0</v>
      </c>
      <c r="L21" s="7">
        <v>44</v>
      </c>
    </row>
    <row r="22" spans="1:12" x14ac:dyDescent="0.25">
      <c r="A22" s="8" t="s">
        <v>44</v>
      </c>
      <c r="B22" s="8" t="s">
        <v>24</v>
      </c>
      <c r="C22" s="8">
        <v>2</v>
      </c>
      <c r="D22" s="8">
        <v>0</v>
      </c>
      <c r="E22" s="8">
        <v>0</v>
      </c>
      <c r="F22" s="8">
        <v>1</v>
      </c>
      <c r="G22" s="8">
        <v>50</v>
      </c>
      <c r="H22" s="8">
        <v>0</v>
      </c>
      <c r="I22" s="8">
        <v>0</v>
      </c>
      <c r="J22" s="8">
        <v>1</v>
      </c>
      <c r="K22" s="8">
        <v>50</v>
      </c>
      <c r="L22" s="7">
        <v>73</v>
      </c>
    </row>
    <row r="23" spans="1:12" x14ac:dyDescent="0.25">
      <c r="A23" s="8" t="s">
        <v>45</v>
      </c>
      <c r="B23" s="8" t="s">
        <v>14</v>
      </c>
      <c r="C23" s="8">
        <v>7</v>
      </c>
      <c r="D23" s="8">
        <v>5</v>
      </c>
      <c r="E23" s="8">
        <v>71.430000000000007</v>
      </c>
      <c r="F23" s="8">
        <v>1</v>
      </c>
      <c r="G23" s="8">
        <v>14.29</v>
      </c>
      <c r="H23" s="8">
        <v>1</v>
      </c>
      <c r="I23" s="8">
        <v>14.29</v>
      </c>
      <c r="J23" s="8">
        <v>0</v>
      </c>
      <c r="K23" s="8">
        <v>0</v>
      </c>
      <c r="L23" s="7">
        <v>27.43</v>
      </c>
    </row>
    <row r="24" spans="1:12" x14ac:dyDescent="0.25">
      <c r="A24" s="8" t="s">
        <v>45</v>
      </c>
      <c r="B24" s="8" t="s">
        <v>16</v>
      </c>
      <c r="C24" s="8">
        <v>1</v>
      </c>
      <c r="D24" s="8">
        <v>0</v>
      </c>
      <c r="E24" s="8">
        <v>0</v>
      </c>
      <c r="F24" s="8">
        <v>1</v>
      </c>
      <c r="G24" s="8">
        <v>100</v>
      </c>
      <c r="H24" s="8">
        <v>0</v>
      </c>
      <c r="I24" s="8">
        <v>0</v>
      </c>
      <c r="J24" s="8">
        <v>0</v>
      </c>
      <c r="K24" s="8">
        <v>0</v>
      </c>
      <c r="L24" s="7">
        <v>60</v>
      </c>
    </row>
    <row r="25" spans="1:12" x14ac:dyDescent="0.25">
      <c r="A25" s="8" t="s">
        <v>45</v>
      </c>
      <c r="B25" s="8" t="s">
        <v>17</v>
      </c>
      <c r="C25" s="8">
        <v>1</v>
      </c>
      <c r="D25" s="8">
        <v>1</v>
      </c>
      <c r="E25" s="8">
        <v>100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7">
        <v>34</v>
      </c>
    </row>
    <row r="26" spans="1:12" x14ac:dyDescent="0.25">
      <c r="A26" s="8" t="s">
        <v>45</v>
      </c>
      <c r="B26" s="8" t="s">
        <v>21</v>
      </c>
      <c r="C26" s="8">
        <v>3</v>
      </c>
      <c r="D26" s="8">
        <v>2</v>
      </c>
      <c r="E26" s="8">
        <v>66.67</v>
      </c>
      <c r="F26" s="8">
        <v>1</v>
      </c>
      <c r="G26" s="8">
        <v>33.33</v>
      </c>
      <c r="H26" s="8">
        <v>0</v>
      </c>
      <c r="I26" s="8">
        <v>0</v>
      </c>
      <c r="J26" s="8">
        <v>0</v>
      </c>
      <c r="K26" s="8">
        <v>0</v>
      </c>
      <c r="L26" s="7">
        <v>31.33</v>
      </c>
    </row>
    <row r="27" spans="1:12" x14ac:dyDescent="0.25">
      <c r="A27" s="8" t="s">
        <v>45</v>
      </c>
      <c r="B27" s="8" t="s">
        <v>23</v>
      </c>
      <c r="C27" s="8">
        <v>6</v>
      </c>
      <c r="D27" s="8">
        <v>6</v>
      </c>
      <c r="E27" s="8">
        <v>100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7">
        <v>16</v>
      </c>
    </row>
    <row r="28" spans="1:12" x14ac:dyDescent="0.25">
      <c r="A28" s="8" t="s">
        <v>45</v>
      </c>
      <c r="B28" s="8" t="s">
        <v>24</v>
      </c>
      <c r="C28" s="8">
        <v>2</v>
      </c>
      <c r="D28" s="8">
        <v>0</v>
      </c>
      <c r="E28" s="8">
        <v>0</v>
      </c>
      <c r="F28" s="8">
        <v>2</v>
      </c>
      <c r="G28" s="8">
        <v>100</v>
      </c>
      <c r="H28" s="8">
        <v>0</v>
      </c>
      <c r="I28" s="8">
        <v>0</v>
      </c>
      <c r="J28" s="8">
        <v>0</v>
      </c>
      <c r="K28" s="8">
        <v>0</v>
      </c>
      <c r="L28" s="7">
        <v>55</v>
      </c>
    </row>
    <row r="29" spans="1:12" x14ac:dyDescent="0.25">
      <c r="A29" s="8" t="s">
        <v>46</v>
      </c>
      <c r="B29" s="8" t="s">
        <v>12</v>
      </c>
      <c r="C29" s="8">
        <v>2</v>
      </c>
      <c r="D29" s="8">
        <v>1</v>
      </c>
      <c r="E29" s="8">
        <v>50</v>
      </c>
      <c r="F29" s="8">
        <v>1</v>
      </c>
      <c r="G29" s="8">
        <v>50</v>
      </c>
      <c r="H29" s="8">
        <v>0</v>
      </c>
      <c r="I29" s="8">
        <v>0</v>
      </c>
      <c r="J29" s="8">
        <v>0</v>
      </c>
      <c r="K29" s="8">
        <v>0</v>
      </c>
      <c r="L29" s="7">
        <v>36</v>
      </c>
    </row>
    <row r="30" spans="1:12" x14ac:dyDescent="0.25">
      <c r="A30" s="8" t="s">
        <v>46</v>
      </c>
      <c r="B30" s="8" t="s">
        <v>17</v>
      </c>
      <c r="C30" s="8">
        <v>1</v>
      </c>
      <c r="D30" s="8">
        <v>1</v>
      </c>
      <c r="E30" s="8">
        <v>100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7">
        <v>15</v>
      </c>
    </row>
    <row r="31" spans="1:12" x14ac:dyDescent="0.25">
      <c r="A31" s="8" t="s">
        <v>46</v>
      </c>
      <c r="B31" s="8" t="s">
        <v>24</v>
      </c>
      <c r="C31" s="8">
        <v>1</v>
      </c>
      <c r="D31" s="8">
        <v>0</v>
      </c>
      <c r="E31" s="8">
        <v>0</v>
      </c>
      <c r="F31" s="8">
        <v>1</v>
      </c>
      <c r="G31" s="8">
        <v>100</v>
      </c>
      <c r="H31" s="8">
        <v>0</v>
      </c>
      <c r="I31" s="8">
        <v>0</v>
      </c>
      <c r="J31" s="8">
        <v>0</v>
      </c>
      <c r="K31" s="8">
        <v>0</v>
      </c>
      <c r="L31" s="7">
        <v>34</v>
      </c>
    </row>
    <row r="32" spans="1:12" x14ac:dyDescent="0.25">
      <c r="A32" s="8" t="s">
        <v>47</v>
      </c>
      <c r="B32" s="8" t="s">
        <v>12</v>
      </c>
      <c r="C32" s="8">
        <v>3</v>
      </c>
      <c r="D32" s="8">
        <v>1</v>
      </c>
      <c r="E32" s="8">
        <v>33.33</v>
      </c>
      <c r="F32" s="8">
        <v>2</v>
      </c>
      <c r="G32" s="8">
        <v>66.67</v>
      </c>
      <c r="H32" s="8">
        <v>0</v>
      </c>
      <c r="I32" s="8">
        <v>0</v>
      </c>
      <c r="J32" s="8">
        <v>0</v>
      </c>
      <c r="K32" s="8">
        <v>0</v>
      </c>
      <c r="L32" s="7">
        <v>34.67</v>
      </c>
    </row>
    <row r="33" spans="1:12" x14ac:dyDescent="0.25">
      <c r="A33" s="8" t="s">
        <v>47</v>
      </c>
      <c r="B33" s="8" t="s">
        <v>13</v>
      </c>
      <c r="C33" s="8">
        <v>4</v>
      </c>
      <c r="D33" s="8">
        <v>4</v>
      </c>
      <c r="E33" s="8">
        <v>100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>
        <v>17.5</v>
      </c>
    </row>
    <row r="34" spans="1:12" x14ac:dyDescent="0.25">
      <c r="A34" s="8" t="s">
        <v>47</v>
      </c>
      <c r="B34" s="8" t="s">
        <v>14</v>
      </c>
      <c r="C34" s="8">
        <v>1</v>
      </c>
      <c r="D34" s="8">
        <v>1</v>
      </c>
      <c r="E34" s="8">
        <v>100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>
        <v>18</v>
      </c>
    </row>
    <row r="35" spans="1:12" x14ac:dyDescent="0.25">
      <c r="A35" s="8" t="s">
        <v>47</v>
      </c>
      <c r="B35" s="8" t="s">
        <v>15</v>
      </c>
      <c r="C35" s="8">
        <v>1</v>
      </c>
      <c r="D35" s="8">
        <v>1</v>
      </c>
      <c r="E35" s="8">
        <v>100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>
        <v>8</v>
      </c>
    </row>
    <row r="36" spans="1:12" x14ac:dyDescent="0.25">
      <c r="A36" s="8" t="s">
        <v>47</v>
      </c>
      <c r="B36" s="8" t="s">
        <v>16</v>
      </c>
      <c r="C36" s="8">
        <v>2</v>
      </c>
      <c r="D36" s="8">
        <v>2</v>
      </c>
      <c r="E36" s="8">
        <v>100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>
        <v>28.5</v>
      </c>
    </row>
    <row r="37" spans="1:12" x14ac:dyDescent="0.25">
      <c r="A37" s="8" t="s">
        <v>47</v>
      </c>
      <c r="B37" s="8" t="s">
        <v>17</v>
      </c>
      <c r="C37" s="8">
        <v>1</v>
      </c>
      <c r="D37" s="8">
        <v>1</v>
      </c>
      <c r="E37" s="8">
        <v>100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7">
        <v>16</v>
      </c>
    </row>
    <row r="38" spans="1:12" x14ac:dyDescent="0.25">
      <c r="A38" s="8" t="s">
        <v>47</v>
      </c>
      <c r="B38" s="8" t="s">
        <v>19</v>
      </c>
      <c r="C38" s="8">
        <v>3</v>
      </c>
      <c r="D38" s="8">
        <v>2</v>
      </c>
      <c r="E38" s="8">
        <v>66.67</v>
      </c>
      <c r="F38" s="8">
        <v>1</v>
      </c>
      <c r="G38" s="8">
        <v>33.33</v>
      </c>
      <c r="H38" s="8">
        <v>0</v>
      </c>
      <c r="I38" s="8">
        <v>0</v>
      </c>
      <c r="J38" s="8">
        <v>0</v>
      </c>
      <c r="K38" s="8">
        <v>0</v>
      </c>
      <c r="L38" s="7">
        <v>28.67</v>
      </c>
    </row>
    <row r="39" spans="1:12" x14ac:dyDescent="0.25">
      <c r="A39" s="8" t="s">
        <v>47</v>
      </c>
      <c r="B39" s="8" t="s">
        <v>21</v>
      </c>
      <c r="C39" s="8">
        <v>5</v>
      </c>
      <c r="D39" s="8">
        <v>4</v>
      </c>
      <c r="E39" s="8">
        <v>80</v>
      </c>
      <c r="F39" s="8">
        <v>1</v>
      </c>
      <c r="G39" s="8">
        <v>20</v>
      </c>
      <c r="H39" s="8">
        <v>0</v>
      </c>
      <c r="I39" s="8">
        <v>0</v>
      </c>
      <c r="J39" s="8">
        <v>0</v>
      </c>
      <c r="K39" s="8">
        <v>0</v>
      </c>
      <c r="L39" s="7">
        <v>28.6</v>
      </c>
    </row>
    <row r="40" spans="1:12" x14ac:dyDescent="0.25">
      <c r="A40" s="8" t="s">
        <v>47</v>
      </c>
      <c r="B40" s="8" t="s">
        <v>23</v>
      </c>
      <c r="C40" s="8">
        <v>7</v>
      </c>
      <c r="D40" s="8">
        <v>7</v>
      </c>
      <c r="E40" s="8">
        <v>100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7">
        <v>18.71</v>
      </c>
    </row>
    <row r="41" spans="1:12" x14ac:dyDescent="0.25">
      <c r="A41" s="8" t="s">
        <v>47</v>
      </c>
      <c r="B41" s="8" t="s">
        <v>24</v>
      </c>
      <c r="C41" s="8">
        <v>1</v>
      </c>
      <c r="D41" s="8">
        <v>0</v>
      </c>
      <c r="E41" s="8">
        <v>0</v>
      </c>
      <c r="F41" s="8">
        <v>1</v>
      </c>
      <c r="G41" s="8">
        <v>100</v>
      </c>
      <c r="H41" s="8">
        <v>0</v>
      </c>
      <c r="I41" s="8">
        <v>0</v>
      </c>
      <c r="J41" s="8">
        <v>0</v>
      </c>
      <c r="K41" s="8">
        <v>0</v>
      </c>
      <c r="L41" s="7">
        <v>53</v>
      </c>
    </row>
    <row r="42" spans="1:12" x14ac:dyDescent="0.25">
      <c r="A42" s="8" t="s">
        <v>48</v>
      </c>
      <c r="B42" s="8" t="s">
        <v>17</v>
      </c>
      <c r="C42" s="8">
        <v>1</v>
      </c>
      <c r="D42" s="8">
        <v>1</v>
      </c>
      <c r="E42" s="8">
        <v>100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7">
        <v>22</v>
      </c>
    </row>
  </sheetData>
  <mergeCells count="1">
    <mergeCell ref="A1:L1"/>
  </mergeCells>
  <pageMargins left="0.31496062992125984" right="0.11811023622047245" top="0.35433070866141736" bottom="0.15748031496062992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18-19</vt:lpstr>
      <vt:lpstr>19-20</vt:lpstr>
      <vt:lpstr>20-21</vt:lpstr>
      <vt:lpstr>РЕЗУЛЬТАТЫ ЕГЭ ВТГ</vt:lpstr>
      <vt:lpstr>Сумма баллов по ОО</vt:lpstr>
      <vt:lpstr>Суммы баллов учащихся</vt:lpstr>
      <vt:lpstr>Р. по АТЕ</vt:lpstr>
      <vt:lpstr>Баллы по АТЕ ГИА-11</vt:lpstr>
      <vt:lpstr>Высокие и низкие результ ГИА-11</vt:lpstr>
      <vt:lpstr>Результаты ГИА-9 по АТЕ</vt:lpstr>
      <vt:lpstr>Высокие и низкие результ ГИА-9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2021-09-22T18:39:19Z</dcterms:modified>
</cp:coreProperties>
</file>